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ate1904="1"/>
  <mc:AlternateContent xmlns:mc="http://schemas.openxmlformats.org/markup-compatibility/2006">
    <mc:Choice Requires="x15">
      <x15ac:absPath xmlns:x15ac="http://schemas.microsoft.com/office/spreadsheetml/2010/11/ac" url="C:\Users\kmiley\Documents\"/>
    </mc:Choice>
  </mc:AlternateContent>
  <xr:revisionPtr revIDLastSave="0" documentId="13_ncr:1_{F2722EB6-97D2-4126-8228-2925EFD78AD3}" xr6:coauthVersionLast="36" xr6:coauthVersionMax="47" xr10:uidLastSave="{00000000-0000-0000-0000-000000000000}"/>
  <bookViews>
    <workbookView xWindow="0" yWindow="0" windowWidth="21705" windowHeight="12615" tabRatio="500" xr2:uid="{00000000-000D-0000-FFFF-FFFF00000000}"/>
  </bookViews>
  <sheets>
    <sheet name="PCR" sheetId="1" r:id="rId1"/>
    <sheet name="ELISA" sheetId="2" r:id="rId2"/>
  </sheets>
  <definedNames>
    <definedName name="_xlnm.Print_Area" localSheetId="1">ELISA!$A$1:$N$25</definedName>
  </definedNames>
  <calcPr calcId="191029"/>
</workbook>
</file>

<file path=xl/calcChain.xml><?xml version="1.0" encoding="utf-8"?>
<calcChain xmlns="http://schemas.openxmlformats.org/spreadsheetml/2006/main">
  <c r="D4" i="2" l="1"/>
  <c r="E3" i="1" l="1"/>
  <c r="G3" i="1" s="1"/>
  <c r="D5" i="2" l="1"/>
  <c r="G3" i="2"/>
  <c r="H3" i="2" s="1"/>
  <c r="J3" i="2" s="1"/>
  <c r="M3" i="2" s="1"/>
  <c r="M4" i="2"/>
  <c r="Q4" i="2" s="1"/>
  <c r="M6" i="2"/>
  <c r="Q6" i="2" s="1"/>
  <c r="M8" i="2"/>
  <c r="Q8" i="2" s="1"/>
  <c r="M9" i="2"/>
  <c r="Q9" i="2" s="1"/>
  <c r="M10" i="2"/>
  <c r="Q10" i="2" s="1"/>
  <c r="M11" i="2"/>
  <c r="Q11" i="2" s="1"/>
  <c r="M14" i="2"/>
  <c r="Q14" i="2" s="1"/>
  <c r="M16" i="2"/>
  <c r="Q16" i="2" s="1"/>
  <c r="M18" i="2"/>
  <c r="Q18" i="2" s="1"/>
  <c r="M20" i="2"/>
  <c r="Q20" i="2" s="1"/>
  <c r="D14" i="1"/>
  <c r="D15" i="1" s="1"/>
  <c r="E15" i="1" s="1"/>
  <c r="G15" i="1" s="1"/>
  <c r="J15" i="1" s="1"/>
  <c r="O15" i="1" s="1"/>
  <c r="T15" i="1" s="1"/>
  <c r="G28" i="1"/>
  <c r="J28" i="1" s="1"/>
  <c r="O28" i="1" s="1"/>
  <c r="D28" i="1"/>
  <c r="D4" i="1"/>
  <c r="D5" i="1" s="1"/>
  <c r="E5" i="1" s="1"/>
  <c r="G5" i="1" s="1"/>
  <c r="J5" i="1" s="1"/>
  <c r="O5" i="1" s="1"/>
  <c r="T5" i="1" s="1"/>
  <c r="J3" i="1"/>
  <c r="O3" i="1" s="1"/>
  <c r="T3" i="1" s="1"/>
  <c r="E14" i="1" l="1"/>
  <c r="G14" i="1" s="1"/>
  <c r="J14" i="1" s="1"/>
  <c r="O14" i="1" s="1"/>
  <c r="T14" i="1" s="1"/>
  <c r="G27" i="1"/>
  <c r="J27" i="1" s="1"/>
  <c r="O27" i="1" s="1"/>
  <c r="T27" i="1" s="1"/>
  <c r="S28" i="1"/>
  <c r="T28" i="1"/>
  <c r="P28" i="1"/>
  <c r="Q28" i="1" s="1"/>
  <c r="S14" i="1"/>
  <c r="P14" i="1"/>
  <c r="S5" i="1"/>
  <c r="P5" i="1"/>
  <c r="Q5" i="1" s="1"/>
  <c r="S15" i="1"/>
  <c r="P15" i="1"/>
  <c r="D16" i="1"/>
  <c r="S3" i="1"/>
  <c r="P3" i="1"/>
  <c r="Q3" i="1" s="1"/>
  <c r="D6" i="1"/>
  <c r="E4" i="1"/>
  <c r="G4" i="1" s="1"/>
  <c r="J4" i="1" s="1"/>
  <c r="O4" i="1" s="1"/>
  <c r="T4" i="1" s="1"/>
  <c r="N3" i="2"/>
  <c r="Q3" i="2"/>
  <c r="E5" i="2"/>
  <c r="F5" i="2" s="1"/>
  <c r="G5" i="2" s="1"/>
  <c r="J5" i="2" s="1"/>
  <c r="M5" i="2" s="1"/>
  <c r="D23" i="2"/>
  <c r="E23" i="2" s="1"/>
  <c r="G23" i="2" s="1"/>
  <c r="J23" i="2" s="1"/>
  <c r="M23" i="2" s="1"/>
  <c r="D6" i="2"/>
  <c r="D22" i="2"/>
  <c r="D21" i="2"/>
  <c r="E4" i="2"/>
  <c r="F4" i="2" s="1"/>
  <c r="G4" i="2" s="1"/>
  <c r="E21" i="2"/>
  <c r="S27" i="1" l="1"/>
  <c r="P27" i="1"/>
  <c r="Q27" i="1" s="1"/>
  <c r="E16" i="1"/>
  <c r="G16" i="1" s="1"/>
  <c r="J16" i="1" s="1"/>
  <c r="O16" i="1" s="1"/>
  <c r="T16" i="1" s="1"/>
  <c r="D17" i="1"/>
  <c r="E6" i="1"/>
  <c r="G6" i="1" s="1"/>
  <c r="J6" i="1" s="1"/>
  <c r="O6" i="1" s="1"/>
  <c r="T6" i="1" s="1"/>
  <c r="D7" i="1"/>
  <c r="S4" i="1"/>
  <c r="P4" i="1"/>
  <c r="Q4" i="1" s="1"/>
  <c r="N23" i="2"/>
  <c r="P23" i="2" s="1"/>
  <c r="Q23" i="2"/>
  <c r="E6" i="2"/>
  <c r="F6" i="2" s="1"/>
  <c r="G6" i="2" s="1"/>
  <c r="G25" i="2" s="1"/>
  <c r="J25" i="2" s="1"/>
  <c r="M25" i="2" s="1"/>
  <c r="D8" i="2"/>
  <c r="D7" i="2"/>
  <c r="E7" i="2" s="1"/>
  <c r="F7" i="2" s="1"/>
  <c r="G21" i="2"/>
  <c r="E22" i="2"/>
  <c r="F21" i="2"/>
  <c r="F22" i="2" s="1"/>
  <c r="F23" i="2"/>
  <c r="G17" i="2" s="1"/>
  <c r="J17" i="2" s="1"/>
  <c r="M17" i="2" s="1"/>
  <c r="N17" i="2" s="1"/>
  <c r="N5" i="2"/>
  <c r="P5" i="2" s="1"/>
  <c r="Q5" i="2"/>
  <c r="D8" i="1" l="1"/>
  <c r="E7" i="1"/>
  <c r="F7" i="1" s="1"/>
  <c r="G7" i="1" s="1"/>
  <c r="J7" i="1" s="1"/>
  <c r="O7" i="1" s="1"/>
  <c r="T7" i="1" s="1"/>
  <c r="S6" i="1"/>
  <c r="P6" i="1"/>
  <c r="Q6" i="1" s="1"/>
  <c r="D18" i="1"/>
  <c r="E17" i="1"/>
  <c r="F17" i="1" s="1"/>
  <c r="G17" i="1" s="1"/>
  <c r="J17" i="1" s="1"/>
  <c r="O17" i="1" s="1"/>
  <c r="T17" i="1" s="1"/>
  <c r="S16" i="1"/>
  <c r="P16" i="1"/>
  <c r="D9" i="2"/>
  <c r="E8" i="2"/>
  <c r="N25" i="2"/>
  <c r="P25" i="2" s="1"/>
  <c r="Q25" i="2"/>
  <c r="J21" i="2"/>
  <c r="M21" i="2" s="1"/>
  <c r="G22" i="2"/>
  <c r="J22" i="2" s="1"/>
  <c r="M22" i="2" s="1"/>
  <c r="P17" i="2"/>
  <c r="Q17" i="2"/>
  <c r="J7" i="2"/>
  <c r="M7" i="2" s="1"/>
  <c r="G7" i="2"/>
  <c r="S17" i="1" l="1"/>
  <c r="P17" i="1"/>
  <c r="Q17" i="1" s="1"/>
  <c r="S7" i="1"/>
  <c r="P7" i="1"/>
  <c r="Q7" i="1" s="1"/>
  <c r="D19" i="1"/>
  <c r="E18" i="1"/>
  <c r="F18" i="1" s="1"/>
  <c r="G18" i="1" s="1"/>
  <c r="J18" i="1" s="1"/>
  <c r="O18" i="1" s="1"/>
  <c r="T18" i="1" s="1"/>
  <c r="D9" i="1"/>
  <c r="E8" i="1"/>
  <c r="F8" i="1" s="1"/>
  <c r="G8" i="1" s="1"/>
  <c r="J8" i="1" s="1"/>
  <c r="O8" i="1" s="1"/>
  <c r="T8" i="1" s="1"/>
  <c r="N22" i="2"/>
  <c r="P22" i="2" s="1"/>
  <c r="Q22" i="2"/>
  <c r="N7" i="2"/>
  <c r="P7" i="2" s="1"/>
  <c r="Q7" i="2"/>
  <c r="N21" i="2"/>
  <c r="P21" i="2" s="1"/>
  <c r="Q21" i="2"/>
  <c r="E9" i="2"/>
  <c r="D10" i="2"/>
  <c r="D10" i="1" l="1"/>
  <c r="E9" i="1"/>
  <c r="G9" i="1" s="1"/>
  <c r="J9" i="1" s="1"/>
  <c r="O9" i="1" s="1"/>
  <c r="T9" i="1" s="1"/>
  <c r="S18" i="1"/>
  <c r="P18" i="1"/>
  <c r="Q18" i="1" s="1"/>
  <c r="D20" i="1"/>
  <c r="E19" i="1"/>
  <c r="F19" i="1" s="1"/>
  <c r="G19" i="1" s="1"/>
  <c r="J19" i="1" s="1"/>
  <c r="O19" i="1" s="1"/>
  <c r="T19" i="1" s="1"/>
  <c r="S8" i="1"/>
  <c r="P8" i="1"/>
  <c r="Q8" i="1" s="1"/>
  <c r="D11" i="2"/>
  <c r="E10" i="2"/>
  <c r="S9" i="1" l="1"/>
  <c r="P9" i="1"/>
  <c r="Q9" i="1" s="1"/>
  <c r="S19" i="1"/>
  <c r="P19" i="1"/>
  <c r="Q19" i="1" s="1"/>
  <c r="D21" i="1"/>
  <c r="E20" i="1"/>
  <c r="F20" i="1" s="1"/>
  <c r="G20" i="1" s="1"/>
  <c r="J20" i="1" s="1"/>
  <c r="O20" i="1" s="1"/>
  <c r="T20" i="1" s="1"/>
  <c r="D11" i="1"/>
  <c r="E10" i="1"/>
  <c r="G10" i="1" s="1"/>
  <c r="J10" i="1" s="1"/>
  <c r="O10" i="1" s="1"/>
  <c r="T10" i="1" s="1"/>
  <c r="D12" i="2"/>
  <c r="E12" i="2" s="1"/>
  <c r="F12" i="2" s="1"/>
  <c r="G12" i="2" s="1"/>
  <c r="M12" i="2" s="1"/>
  <c r="D13" i="2"/>
  <c r="E11" i="2"/>
  <c r="S10" i="1" l="1"/>
  <c r="P10" i="1"/>
  <c r="Q10" i="1" s="1"/>
  <c r="D12" i="1"/>
  <c r="E11" i="1"/>
  <c r="F11" i="1" s="1"/>
  <c r="G11" i="1" s="1"/>
  <c r="J11" i="1" s="1"/>
  <c r="O11" i="1" s="1"/>
  <c r="T11" i="1" s="1"/>
  <c r="S20" i="1"/>
  <c r="P20" i="1"/>
  <c r="Q20" i="1" s="1"/>
  <c r="D22" i="1"/>
  <c r="E21" i="1"/>
  <c r="F21" i="1" s="1"/>
  <c r="G21" i="1" s="1"/>
  <c r="J21" i="1" s="1"/>
  <c r="O21" i="1" s="1"/>
  <c r="T21" i="1" s="1"/>
  <c r="D14" i="2"/>
  <c r="E13" i="2"/>
  <c r="F13" i="2" s="1"/>
  <c r="G13" i="2" s="1"/>
  <c r="J13" i="2" s="1"/>
  <c r="M13" i="2" s="1"/>
  <c r="N12" i="2"/>
  <c r="P12" i="2" s="1"/>
  <c r="Q12" i="2"/>
  <c r="E22" i="1" l="1"/>
  <c r="F22" i="1" s="1"/>
  <c r="G22" i="1" s="1"/>
  <c r="J22" i="1" s="1"/>
  <c r="O22" i="1" s="1"/>
  <c r="T22" i="1" s="1"/>
  <c r="D23" i="1"/>
  <c r="E12" i="1"/>
  <c r="F12" i="1" s="1"/>
  <c r="G12" i="1" s="1"/>
  <c r="J12" i="1" s="1"/>
  <c r="O12" i="1" s="1"/>
  <c r="T12" i="1" s="1"/>
  <c r="D13" i="1"/>
  <c r="E13" i="1" s="1"/>
  <c r="G13" i="1" s="1"/>
  <c r="J13" i="1" s="1"/>
  <c r="O13" i="1" s="1"/>
  <c r="T13" i="1" s="1"/>
  <c r="S21" i="1"/>
  <c r="P21" i="1"/>
  <c r="Q21" i="1" s="1"/>
  <c r="S11" i="1"/>
  <c r="P11" i="1"/>
  <c r="Q11" i="1" s="1"/>
  <c r="N13" i="2"/>
  <c r="P13" i="2" s="1"/>
  <c r="Q13" i="2"/>
  <c r="D15" i="2"/>
  <c r="E14" i="2"/>
  <c r="S12" i="1" l="1"/>
  <c r="P12" i="1"/>
  <c r="Q12" i="1" s="1"/>
  <c r="S13" i="1"/>
  <c r="P13" i="1"/>
  <c r="E23" i="1"/>
  <c r="F23" i="1" s="1"/>
  <c r="G23" i="1" s="1"/>
  <c r="J23" i="1" s="1"/>
  <c r="O23" i="1" s="1"/>
  <c r="T23" i="1" s="1"/>
  <c r="D24" i="1"/>
  <c r="S22" i="1"/>
  <c r="P22" i="1"/>
  <c r="Q22" i="1" s="1"/>
  <c r="E15" i="2"/>
  <c r="F15" i="2" s="1"/>
  <c r="G15" i="2" s="1"/>
  <c r="J15" i="2" s="1"/>
  <c r="M15" i="2" s="1"/>
  <c r="D16" i="2"/>
  <c r="D25" i="1" l="1"/>
  <c r="E24" i="1"/>
  <c r="F24" i="1" s="1"/>
  <c r="G24" i="1" s="1"/>
  <c r="J24" i="1" s="1"/>
  <c r="O24" i="1" s="1"/>
  <c r="T24" i="1" s="1"/>
  <c r="S23" i="1"/>
  <c r="P23" i="1"/>
  <c r="Q23" i="1" s="1"/>
  <c r="E16" i="2"/>
  <c r="D17" i="2"/>
  <c r="D18" i="2" s="1"/>
  <c r="N15" i="2"/>
  <c r="P15" i="2" s="1"/>
  <c r="Q15" i="2"/>
  <c r="S24" i="1" l="1"/>
  <c r="P24" i="1"/>
  <c r="Q24" i="1" s="1"/>
  <c r="D26" i="1"/>
  <c r="E25" i="1"/>
  <c r="G25" i="1" s="1"/>
  <c r="J25" i="1" s="1"/>
  <c r="O25" i="1" s="1"/>
  <c r="T25" i="1" s="1"/>
  <c r="D19" i="2"/>
  <c r="E18" i="2"/>
  <c r="S25" i="1" l="1"/>
  <c r="P25" i="1"/>
  <c r="Q25" i="1" s="1"/>
  <c r="E26" i="1"/>
  <c r="F26" i="1" s="1"/>
  <c r="G26" i="1" s="1"/>
  <c r="J26" i="1" s="1"/>
  <c r="O26" i="1" s="1"/>
  <c r="T26" i="1" s="1"/>
  <c r="T29" i="1" s="1"/>
  <c r="D27" i="1"/>
  <c r="E19" i="2"/>
  <c r="F19" i="2" s="1"/>
  <c r="G19" i="2" s="1"/>
  <c r="J19" i="2" s="1"/>
  <c r="M19" i="2" s="1"/>
  <c r="D20" i="2"/>
  <c r="E20" i="2" s="1"/>
  <c r="G24" i="2" s="1"/>
  <c r="J24" i="2" s="1"/>
  <c r="M24" i="2" s="1"/>
  <c r="S26" i="1" l="1"/>
  <c r="S29" i="1" s="1"/>
  <c r="P26" i="1"/>
  <c r="Q26" i="1" s="1"/>
  <c r="Q29" i="1" s="1"/>
  <c r="N24" i="2"/>
  <c r="P24" i="2" s="1"/>
  <c r="Q24" i="2"/>
  <c r="N19" i="2"/>
  <c r="P19" i="2" s="1"/>
  <c r="Q19" i="2"/>
  <c r="Q26" i="2" l="1"/>
  <c r="P26" i="2"/>
</calcChain>
</file>

<file path=xl/sharedStrings.xml><?xml version="1.0" encoding="utf-8"?>
<sst xmlns="http://schemas.openxmlformats.org/spreadsheetml/2006/main" count="250" uniqueCount="153">
  <si>
    <t>working conc</t>
  </si>
  <si>
    <t>reagent or supply</t>
  </si>
  <si>
    <t>1.5ml tube</t>
  </si>
  <si>
    <t>P20 tips</t>
  </si>
  <si>
    <t>P200 tips</t>
  </si>
  <si>
    <t>P1000 tips</t>
  </si>
  <si>
    <t>proteinase K</t>
  </si>
  <si>
    <t>DTT</t>
  </si>
  <si>
    <t>1ug/ml</t>
  </si>
  <si>
    <t>homogenizer</t>
  </si>
  <si>
    <t>ul volume or #/rxn</t>
  </si>
  <si>
    <t>storage plate</t>
  </si>
  <si>
    <t>plate sealer</t>
  </si>
  <si>
    <t>total working (ml)</t>
  </si>
  <si>
    <t>1M NaOH</t>
  </si>
  <si>
    <t>1M</t>
  </si>
  <si>
    <t>OVS2-Fl</t>
  </si>
  <si>
    <t>50ng/ml</t>
  </si>
  <si>
    <t>1/10,000</t>
  </si>
  <si>
    <t>Ab dilution buffer</t>
  </si>
  <si>
    <t>PCR plate</t>
  </si>
  <si>
    <t>Immunolon 2 HB flat plate</t>
  </si>
  <si>
    <t>total stock needed</t>
  </si>
  <si>
    <t>5% BSA</t>
  </si>
  <si>
    <t>total working (ul)</t>
  </si>
  <si>
    <t>Ov16 Ag</t>
  </si>
  <si>
    <t>2ug/ml</t>
  </si>
  <si>
    <t>PBST-BSA elute</t>
  </si>
  <si>
    <t>PBST-BSA block</t>
  </si>
  <si>
    <t>P200 tip</t>
  </si>
  <si>
    <t>coating</t>
  </si>
  <si>
    <t>Ag addition</t>
  </si>
  <si>
    <t>block</t>
  </si>
  <si>
    <t>serum addition</t>
  </si>
  <si>
    <t>Anti-human IgG4</t>
  </si>
  <si>
    <t>1/1000</t>
  </si>
  <si>
    <t>IgG4 addition</t>
  </si>
  <si>
    <t>Strepavidin AP</t>
  </si>
  <si>
    <t>1 to 2000</t>
  </si>
  <si>
    <t>Strepavidin AP addition</t>
  </si>
  <si>
    <t>substrate addition</t>
  </si>
  <si>
    <t>NaOH</t>
  </si>
  <si>
    <t>3M</t>
  </si>
  <si>
    <t>stop addition</t>
  </si>
  <si>
    <t>1-10ul pipet tips</t>
  </si>
  <si>
    <t>96 well plate elution</t>
  </si>
  <si>
    <t>amount needed</t>
  </si>
  <si>
    <t>10mg/ml</t>
  </si>
  <si>
    <t>units</t>
  </si>
  <si>
    <t>tube</t>
  </si>
  <si>
    <t>tip</t>
  </si>
  <si>
    <t>mg</t>
  </si>
  <si>
    <t>g</t>
  </si>
  <si>
    <t>ml</t>
  </si>
  <si>
    <t>ul</t>
  </si>
  <si>
    <t>ml 100uM stock</t>
  </si>
  <si>
    <t>50 ug/ml stock</t>
  </si>
  <si>
    <t>Blue Phos A</t>
  </si>
  <si>
    <t>Blue Phos B</t>
  </si>
  <si>
    <t>AP stop</t>
  </si>
  <si>
    <t>OVS2 biotin capture probe</t>
  </si>
  <si>
    <t>0.5uM</t>
  </si>
  <si>
    <t>Dyna beads strepavidin coated</t>
  </si>
  <si>
    <t>g BSA</t>
  </si>
  <si>
    <t>plate</t>
  </si>
  <si>
    <t>sealer</t>
  </si>
  <si>
    <t>tablets</t>
  </si>
  <si>
    <t>stock needed</t>
  </si>
  <si>
    <t>ml  1mg/ml stock</t>
  </si>
  <si>
    <t>2 mg/ml</t>
  </si>
  <si>
    <t>TOTAL P200 tips</t>
  </si>
  <si>
    <t>TOTAL BSA</t>
  </si>
  <si>
    <t>boxes</t>
  </si>
  <si>
    <t>ml 2000x stock</t>
  </si>
  <si>
    <t>500 per bag</t>
  </si>
  <si>
    <t>100 per bag</t>
  </si>
  <si>
    <t>50 per package</t>
  </si>
  <si>
    <t>tablet</t>
  </si>
  <si>
    <t>plate sealers</t>
  </si>
  <si>
    <t>total pools</t>
  </si>
  <si>
    <t>unit size</t>
  </si>
  <si>
    <t>unit cost</t>
  </si>
  <si>
    <t>100mg</t>
  </si>
  <si>
    <t>12 rxns</t>
  </si>
  <si>
    <t>15ml tubes</t>
  </si>
  <si>
    <t>500 case</t>
  </si>
  <si>
    <t>Unit size</t>
  </si>
  <si>
    <t>25 per bag</t>
  </si>
  <si>
    <t>100g</t>
  </si>
  <si>
    <t>50 per pack</t>
  </si>
  <si>
    <t>100 per pack</t>
  </si>
  <si>
    <t>200ul</t>
  </si>
  <si>
    <t>PCR plate sealer</t>
  </si>
  <si>
    <t>Strepavidin (jackson immuno)</t>
  </si>
  <si>
    <t>Hybridization buffer</t>
  </si>
  <si>
    <t>Anti-Fl-AP Fab</t>
  </si>
  <si>
    <t>Freeze dried rxn mixes</t>
  </si>
  <si>
    <t>units needed</t>
  </si>
  <si>
    <t>8 boxes per case</t>
  </si>
  <si>
    <t>10 boxes per case</t>
  </si>
  <si>
    <t>comments</t>
  </si>
  <si>
    <t>1ml</t>
  </si>
  <si>
    <t>TOTAL</t>
  </si>
  <si>
    <t xml:space="preserve">10 boxes per case </t>
  </si>
  <si>
    <t>total cost</t>
  </si>
  <si>
    <t>100g per bottle</t>
  </si>
  <si>
    <t>500g per bottle</t>
  </si>
  <si>
    <t>totalled below</t>
  </si>
  <si>
    <t>2 ml per bottle</t>
  </si>
  <si>
    <t>100 per box</t>
  </si>
  <si>
    <t>1mg per bottle</t>
  </si>
  <si>
    <t>made by labs</t>
  </si>
  <si>
    <t>25ml per bottle</t>
  </si>
  <si>
    <t>200ml 10X per bottle</t>
  </si>
  <si>
    <t>one tube TRU lab provided</t>
  </si>
  <si>
    <t>1ml per tube TRU provided</t>
  </si>
  <si>
    <t>0.5ml per tube</t>
  </si>
  <si>
    <t>2ml 2000x stock per tube</t>
  </si>
  <si>
    <t>5g per bottle</t>
  </si>
  <si>
    <t>ml TRU lab provided</t>
  </si>
  <si>
    <t># units needed</t>
  </si>
  <si>
    <t>human IgG4 McAb positive</t>
  </si>
  <si>
    <t>250ng/ml</t>
  </si>
  <si>
    <t>ul 1mg/ml stock</t>
  </si>
  <si>
    <t>Whatman #2 paper 60x60 sheets</t>
  </si>
  <si>
    <t>5x5cm square</t>
  </si>
  <si>
    <t>sheet</t>
  </si>
  <si>
    <t>1000ul</t>
  </si>
  <si>
    <t>plates</t>
  </si>
  <si>
    <t>sealers</t>
  </si>
  <si>
    <t>items per unit</t>
  </si>
  <si>
    <t>made in local lab</t>
  </si>
  <si>
    <t>ships as kit with soln A</t>
  </si>
  <si>
    <t># whole units needed</t>
  </si>
  <si>
    <t>Whole untis needed</t>
  </si>
  <si>
    <t>Tween 20</t>
  </si>
  <si>
    <t>0.05%</t>
  </si>
  <si>
    <t>500ml</t>
  </si>
  <si>
    <t>Shipped or in stock</t>
  </si>
  <si>
    <t>PNPP substrate kit</t>
  </si>
  <si>
    <t>105 tablets per kit</t>
  </si>
  <si>
    <t>In stock</t>
  </si>
  <si>
    <t xml:space="preserve">96 well 2HB flat bottomed ELISA plate </t>
  </si>
  <si>
    <t>uint cost</t>
  </si>
  <si>
    <t>unit cost 2022</t>
  </si>
  <si>
    <t>Reagent or Supply</t>
  </si>
  <si>
    <t>Total Blood spots</t>
  </si>
  <si>
    <t>Units needed</t>
  </si>
  <si>
    <t>Amount needed</t>
  </si>
  <si>
    <t>Total cost</t>
  </si>
  <si>
    <t>Partial cost</t>
  </si>
  <si>
    <t>Reagents and supplies needed to analyze blood spots by Ov16 ELISA: To calculate needs, type number of samples (DBS) in box next to Whatman #2 Paper and click on units needed to update totals.</t>
  </si>
  <si>
    <t>Reagent and Supply for PCR analysis of pools of flies (100 flies per pool) To Calculate Needs - Type Number of Pools in the box next to 1.5ml tube (ex: 1000 pools), then click on units needed to update total.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</si>
</sst>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1" x14ac:knownFonts="1">
    <font>
      <sz val="10"/>
      <name val="Arial"/>
    </font>
    <font>
      <sz val="10"/>
      <name val="Arial"/>
      <family val="2"/>
    </font>
    <font>
      <sz val="10"/>
      <color indexed="21"/>
      <name val="Arial"/>
      <family val="2"/>
    </font>
    <font>
      <sz val="11"/>
      <color indexed="63"/>
      <name val="Calibri"/>
      <family val="2"/>
    </font>
    <font>
      <sz val="11"/>
      <name val="Calibri"/>
      <family val="2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2" borderId="6" applyNumberFormat="0" applyAlignment="0" applyProtection="0"/>
    <xf numFmtId="0" fontId="1" fillId="3" borderId="7" applyNumberFormat="0" applyFont="0" applyAlignment="0" applyProtection="0"/>
  </cellStyleXfs>
  <cellXfs count="95">
    <xf numFmtId="0" fontId="0" fillId="0" borderId="0" xfId="0"/>
    <xf numFmtId="2" fontId="0" fillId="0" borderId="0" xfId="0" applyNumberFormat="1"/>
    <xf numFmtId="0" fontId="0" fillId="0" borderId="0" xfId="0" applyAlignment="1">
      <alignment horizontal="right"/>
    </xf>
    <xf numFmtId="0" fontId="1" fillId="4" borderId="1" xfId="2" applyFont="1" applyFill="1" applyBorder="1"/>
    <xf numFmtId="3" fontId="1" fillId="4" borderId="1" xfId="2" applyNumberFormat="1" applyFont="1" applyFill="1" applyBorder="1"/>
    <xf numFmtId="2" fontId="1" fillId="4" borderId="1" xfId="2" applyNumberFormat="1" applyFont="1" applyFill="1" applyBorder="1"/>
    <xf numFmtId="1" fontId="1" fillId="4" borderId="1" xfId="2" applyNumberFormat="1" applyFont="1" applyFill="1" applyBorder="1"/>
    <xf numFmtId="3" fontId="2" fillId="4" borderId="1" xfId="2" applyNumberFormat="1" applyFont="1" applyFill="1" applyBorder="1"/>
    <xf numFmtId="3" fontId="0" fillId="0" borderId="1" xfId="0" applyNumberFormat="1" applyBorder="1"/>
    <xf numFmtId="4" fontId="0" fillId="0" borderId="1" xfId="0" applyNumberFormat="1" applyBorder="1"/>
    <xf numFmtId="164" fontId="0" fillId="0" borderId="1" xfId="0" applyNumberFormat="1" applyBorder="1"/>
    <xf numFmtId="165" fontId="1" fillId="4" borderId="1" xfId="2" applyNumberFormat="1" applyFont="1" applyFill="1" applyBorder="1"/>
    <xf numFmtId="9" fontId="1" fillId="4" borderId="1" xfId="2" applyNumberFormat="1" applyFont="1" applyFill="1" applyBorder="1"/>
    <xf numFmtId="0" fontId="1" fillId="4" borderId="1" xfId="2" applyFont="1" applyFill="1" applyBorder="1" applyAlignment="1">
      <alignment horizontal="right"/>
    </xf>
    <xf numFmtId="3" fontId="1" fillId="4" borderId="1" xfId="2" applyNumberFormat="1" applyFont="1" applyFill="1" applyBorder="1" applyAlignment="1">
      <alignment horizontal="right"/>
    </xf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right"/>
    </xf>
    <xf numFmtId="0" fontId="1" fillId="4" borderId="2" xfId="2" applyFont="1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textRotation="90"/>
    </xf>
    <xf numFmtId="0" fontId="0" fillId="0" borderId="0" xfId="0" applyAlignment="1">
      <alignment horizontal="left" textRotation="90"/>
    </xf>
    <xf numFmtId="0" fontId="1" fillId="4" borderId="3" xfId="2" applyFont="1" applyFill="1" applyBorder="1" applyAlignment="1">
      <alignment horizontal="center" textRotation="90"/>
    </xf>
    <xf numFmtId="2" fontId="1" fillId="4" borderId="3" xfId="2" applyNumberFormat="1" applyFont="1" applyFill="1" applyBorder="1" applyAlignment="1">
      <alignment horizontal="center" textRotation="90"/>
    </xf>
    <xf numFmtId="0" fontId="0" fillId="0" borderId="3" xfId="0" applyBorder="1" applyAlignment="1">
      <alignment horizontal="center" textRotation="90"/>
    </xf>
    <xf numFmtId="0" fontId="0" fillId="0" borderId="0" xfId="0" applyAlignment="1">
      <alignment horizontal="center" textRotation="90"/>
    </xf>
    <xf numFmtId="0" fontId="0" fillId="0" borderId="0" xfId="0" applyAlignment="1">
      <alignment horizontal="left"/>
    </xf>
    <xf numFmtId="0" fontId="1" fillId="0" borderId="1" xfId="2" applyFont="1" applyFill="1" applyBorder="1"/>
    <xf numFmtId="3" fontId="1" fillId="0" borderId="1" xfId="2" applyNumberFormat="1" applyFont="1" applyFill="1" applyBorder="1"/>
    <xf numFmtId="2" fontId="1" fillId="0" borderId="1" xfId="2" applyNumberFormat="1" applyFont="1" applyFill="1" applyBorder="1"/>
    <xf numFmtId="1" fontId="1" fillId="0" borderId="1" xfId="2" applyNumberFormat="1" applyFont="1" applyFill="1" applyBorder="1"/>
    <xf numFmtId="3" fontId="1" fillId="0" borderId="1" xfId="2" applyNumberFormat="1" applyFont="1" applyFill="1" applyBorder="1" applyAlignment="1">
      <alignment horizontal="right"/>
    </xf>
    <xf numFmtId="3" fontId="2" fillId="0" borderId="1" xfId="2" applyNumberFormat="1" applyFont="1" applyFill="1" applyBorder="1"/>
    <xf numFmtId="0" fontId="1" fillId="0" borderId="1" xfId="2" applyFont="1" applyFill="1" applyBorder="1" applyAlignment="1">
      <alignment horizontal="right"/>
    </xf>
    <xf numFmtId="165" fontId="1" fillId="0" borderId="1" xfId="2" applyNumberFormat="1" applyFont="1" applyFill="1" applyBorder="1"/>
    <xf numFmtId="0" fontId="0" fillId="0" borderId="1" xfId="2" applyFont="1" applyFill="1" applyBorder="1" applyAlignment="1">
      <alignment horizontal="right"/>
    </xf>
    <xf numFmtId="1" fontId="0" fillId="0" borderId="1" xfId="0" applyNumberFormat="1" applyBorder="1" applyAlignment="1">
      <alignment horizontal="center" textRotation="90"/>
    </xf>
    <xf numFmtId="2" fontId="0" fillId="0" borderId="1" xfId="0" applyNumberFormat="1" applyBorder="1" applyAlignment="1">
      <alignment horizontal="center" textRotation="90"/>
    </xf>
    <xf numFmtId="2" fontId="0" fillId="0" borderId="1" xfId="0" applyNumberForma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left" textRotation="90"/>
    </xf>
    <xf numFmtId="1" fontId="0" fillId="0" borderId="0" xfId="0" applyNumberFormat="1"/>
    <xf numFmtId="2" fontId="7" fillId="2" borderId="1" xfId="1" applyNumberFormat="1" applyFont="1" applyBorder="1" applyAlignment="1">
      <alignment horizontal="left"/>
    </xf>
    <xf numFmtId="2" fontId="7" fillId="2" borderId="1" xfId="1" applyNumberFormat="1" applyFont="1" applyBorder="1" applyAlignment="1">
      <alignment horizontal="right" textRotation="90"/>
    </xf>
    <xf numFmtId="0" fontId="8" fillId="0" borderId="1" xfId="0" applyFont="1" applyBorder="1" applyAlignment="1">
      <alignment horizontal="right"/>
    </xf>
    <xf numFmtId="1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right"/>
    </xf>
    <xf numFmtId="2" fontId="0" fillId="5" borderId="1" xfId="0" applyNumberFormat="1" applyFill="1" applyBorder="1" applyAlignment="1">
      <alignment horizontal="right"/>
    </xf>
    <xf numFmtId="2" fontId="6" fillId="5" borderId="1" xfId="1" applyNumberFormat="1" applyFont="1" applyFill="1" applyBorder="1" applyAlignment="1">
      <alignment horizontal="right"/>
    </xf>
    <xf numFmtId="2" fontId="3" fillId="4" borderId="1" xfId="2" applyNumberFormat="1" applyFont="1" applyFill="1" applyBorder="1" applyAlignment="1">
      <alignment horizontal="right"/>
    </xf>
    <xf numFmtId="2" fontId="0" fillId="4" borderId="1" xfId="0" applyNumberFormat="1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right"/>
    </xf>
    <xf numFmtId="2" fontId="3" fillId="4" borderId="1" xfId="2" applyNumberFormat="1" applyFont="1" applyFill="1" applyBorder="1" applyAlignment="1">
      <alignment horizontal="left"/>
    </xf>
    <xf numFmtId="2" fontId="1" fillId="4" borderId="1" xfId="2" applyNumberFormat="1" applyFont="1" applyFill="1" applyBorder="1" applyAlignment="1">
      <alignment horizontal="center"/>
    </xf>
    <xf numFmtId="1" fontId="1" fillId="4" borderId="1" xfId="2" applyNumberFormat="1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right"/>
    </xf>
    <xf numFmtId="2" fontId="1" fillId="4" borderId="1" xfId="2" applyNumberFormat="1" applyFont="1" applyFill="1" applyBorder="1" applyAlignment="1">
      <alignment horizontal="right"/>
    </xf>
    <xf numFmtId="1" fontId="0" fillId="0" borderId="1" xfId="0" applyNumberFormat="1" applyBorder="1" applyAlignment="1">
      <alignment horizontal="center"/>
    </xf>
    <xf numFmtId="1" fontId="7" fillId="2" borderId="1" xfId="1" applyNumberFormat="1" applyFont="1" applyBorder="1" applyAlignment="1">
      <alignment horizontal="right" textRotation="90"/>
    </xf>
    <xf numFmtId="1" fontId="3" fillId="4" borderId="1" xfId="2" applyNumberFormat="1" applyFont="1" applyFill="1" applyBorder="1" applyAlignment="1">
      <alignment horizontal="right"/>
    </xf>
    <xf numFmtId="1" fontId="0" fillId="4" borderId="1" xfId="0" applyNumberFormat="1" applyFill="1" applyBorder="1" applyAlignment="1">
      <alignment horizontal="right"/>
    </xf>
    <xf numFmtId="49" fontId="7" fillId="2" borderId="1" xfId="1" applyNumberFormat="1" applyFont="1" applyBorder="1" applyAlignment="1">
      <alignment horizontal="right" textRotation="90"/>
    </xf>
    <xf numFmtId="49" fontId="0" fillId="0" borderId="1" xfId="0" applyNumberFormat="1" applyBorder="1" applyAlignment="1">
      <alignment horizontal="right"/>
    </xf>
    <xf numFmtId="49" fontId="3" fillId="4" borderId="1" xfId="2" applyNumberFormat="1" applyFont="1" applyFill="1" applyBorder="1" applyAlignment="1">
      <alignment horizontal="right"/>
    </xf>
    <xf numFmtId="49" fontId="0" fillId="4" borderId="1" xfId="0" applyNumberFormat="1" applyFill="1" applyBorder="1" applyAlignment="1">
      <alignment horizontal="right"/>
    </xf>
    <xf numFmtId="49" fontId="1" fillId="4" borderId="1" xfId="2" applyNumberFormat="1" applyFont="1" applyFill="1" applyBorder="1" applyAlignment="1">
      <alignment horizontal="right"/>
    </xf>
    <xf numFmtId="2" fontId="6" fillId="0" borderId="1" xfId="1" applyNumberFormat="1" applyFont="1" applyFill="1" applyBorder="1" applyAlignment="1">
      <alignment horizontal="left"/>
    </xf>
    <xf numFmtId="49" fontId="6" fillId="0" borderId="1" xfId="1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>
      <alignment horizontal="right"/>
    </xf>
    <xf numFmtId="2" fontId="6" fillId="0" borderId="1" xfId="1" applyNumberFormat="1" applyFont="1" applyFill="1" applyBorder="1" applyAlignment="1">
      <alignment horizontal="right" textRotation="90"/>
    </xf>
    <xf numFmtId="2" fontId="6" fillId="0" borderId="1" xfId="1" applyNumberFormat="1" applyFont="1" applyFill="1" applyBorder="1" applyAlignment="1">
      <alignment horizontal="right"/>
    </xf>
    <xf numFmtId="0" fontId="8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left" textRotation="90"/>
    </xf>
    <xf numFmtId="0" fontId="1" fillId="6" borderId="2" xfId="2" applyFont="1" applyFill="1" applyBorder="1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1" fontId="0" fillId="0" borderId="0" xfId="0" applyNumberFormat="1" applyAlignment="1">
      <alignment horizontal="left" wrapText="1"/>
    </xf>
    <xf numFmtId="0" fontId="9" fillId="5" borderId="4" xfId="0" applyFont="1" applyFill="1" applyBorder="1" applyAlignment="1">
      <alignment wrapText="1"/>
    </xf>
    <xf numFmtId="0" fontId="0" fillId="5" borderId="5" xfId="0" applyFill="1" applyBorder="1" applyAlignment="1">
      <alignment wrapText="1"/>
    </xf>
    <xf numFmtId="0" fontId="0" fillId="0" borderId="5" xfId="0" applyBorder="1" applyAlignment="1">
      <alignment wrapText="1"/>
    </xf>
    <xf numFmtId="2" fontId="10" fillId="5" borderId="1" xfId="0" applyNumberFormat="1" applyFont="1" applyFill="1" applyBorder="1" applyAlignment="1">
      <alignment horizontal="left" wrapText="1"/>
    </xf>
    <xf numFmtId="2" fontId="0" fillId="5" borderId="1" xfId="0" applyNumberFormat="1" applyFill="1" applyBorder="1" applyAlignment="1">
      <alignment horizontal="left" wrapText="1"/>
    </xf>
    <xf numFmtId="2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right" wrapText="1"/>
    </xf>
  </cellXfs>
  <cellStyles count="3">
    <cellStyle name="Calculation" xfId="1" builtinId="22"/>
    <cellStyle name="Normal" xfId="0" builtinId="0"/>
    <cellStyle name="Note" xfId="2" builtinId="1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zoomScaleNormal="100" zoomScalePageLayoutView="150" workbookViewId="0">
      <selection activeCell="O3" sqref="O3"/>
    </sheetView>
  </sheetViews>
  <sheetFormatPr defaultColWidth="11.42578125" defaultRowHeight="12.75" x14ac:dyDescent="0.2"/>
  <cols>
    <col min="1" max="1" width="37.5703125" customWidth="1"/>
    <col min="2" max="2" width="8.42578125" hidden="1" customWidth="1"/>
    <col min="3" max="3" width="5" hidden="1" customWidth="1"/>
    <col min="4" max="4" width="8.42578125" customWidth="1"/>
    <col min="5" max="5" width="12.85546875" hidden="1" customWidth="1"/>
    <col min="6" max="6" width="13.85546875" style="1" hidden="1" customWidth="1"/>
    <col min="7" max="7" width="8.85546875" style="1" hidden="1" customWidth="1"/>
    <col min="8" max="8" width="14" style="2" hidden="1" customWidth="1"/>
    <col min="9" max="9" width="8.42578125" hidden="1" customWidth="1"/>
    <col min="10" max="10" width="8" hidden="1" customWidth="1"/>
    <col min="11" max="11" width="14" style="2" hidden="1" customWidth="1"/>
    <col min="12" max="12" width="21.42578125" hidden="1" customWidth="1"/>
    <col min="13" max="13" width="12.85546875" hidden="1" customWidth="1"/>
    <col min="14" max="15" width="11.42578125" style="26" customWidth="1"/>
    <col min="16" max="16" width="6.28515625" style="41" customWidth="1"/>
    <col min="18" max="18" width="18.140625" customWidth="1"/>
    <col min="19" max="19" width="0" hidden="1" customWidth="1"/>
  </cols>
  <sheetData>
    <row r="1" spans="1:20" s="83" customFormat="1" ht="153.75" customHeight="1" x14ac:dyDescent="0.25">
      <c r="A1" s="86" t="s">
        <v>152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88"/>
      <c r="N1" s="84"/>
      <c r="O1" s="84"/>
      <c r="P1" s="85"/>
    </row>
    <row r="2" spans="1:20" s="25" customFormat="1" ht="97.5" x14ac:dyDescent="0.2">
      <c r="A2" s="22" t="s">
        <v>1</v>
      </c>
      <c r="B2" s="22" t="s">
        <v>0</v>
      </c>
      <c r="C2" s="22" t="s">
        <v>10</v>
      </c>
      <c r="D2" s="22" t="s">
        <v>79</v>
      </c>
      <c r="E2" s="22" t="s">
        <v>24</v>
      </c>
      <c r="F2" s="23" t="s">
        <v>13</v>
      </c>
      <c r="G2" s="23" t="s">
        <v>67</v>
      </c>
      <c r="H2" s="22" t="s">
        <v>48</v>
      </c>
      <c r="I2" s="22" t="s">
        <v>138</v>
      </c>
      <c r="J2" s="24" t="s">
        <v>46</v>
      </c>
      <c r="K2" s="22" t="s">
        <v>48</v>
      </c>
      <c r="L2" s="24" t="s">
        <v>80</v>
      </c>
      <c r="M2" s="25" t="s">
        <v>130</v>
      </c>
      <c r="N2" s="81" t="s">
        <v>144</v>
      </c>
      <c r="O2" s="21" t="s">
        <v>120</v>
      </c>
      <c r="P2" s="42" t="s">
        <v>133</v>
      </c>
      <c r="Q2" s="25" t="s">
        <v>104</v>
      </c>
      <c r="R2" s="25" t="s">
        <v>100</v>
      </c>
      <c r="S2" s="25" t="s">
        <v>81</v>
      </c>
      <c r="T2" s="25" t="s">
        <v>143</v>
      </c>
    </row>
    <row r="3" spans="1:20" x14ac:dyDescent="0.2">
      <c r="A3" s="82" t="s">
        <v>2</v>
      </c>
      <c r="B3" s="3"/>
      <c r="C3" s="3">
        <v>1</v>
      </c>
      <c r="D3" s="4">
        <v>1000</v>
      </c>
      <c r="E3" s="4">
        <f t="shared" ref="E3:E26" si="0">C3*D3</f>
        <v>1000</v>
      </c>
      <c r="F3" s="5"/>
      <c r="G3" s="6">
        <f>E3</f>
        <v>1000</v>
      </c>
      <c r="H3" s="14" t="s">
        <v>49</v>
      </c>
      <c r="I3" s="7">
        <v>0</v>
      </c>
      <c r="J3" s="8">
        <f>G3-I3</f>
        <v>1000</v>
      </c>
      <c r="K3" s="14" t="s">
        <v>49</v>
      </c>
      <c r="L3" s="15" t="s">
        <v>74</v>
      </c>
      <c r="M3" s="15">
        <v>500</v>
      </c>
      <c r="N3" s="19">
        <v>14</v>
      </c>
      <c r="O3" s="26">
        <f>J3/M3</f>
        <v>2</v>
      </c>
      <c r="P3" s="41">
        <f>ROUNDUP(O3,0)</f>
        <v>2</v>
      </c>
      <c r="Q3">
        <f>N3*P3</f>
        <v>28</v>
      </c>
      <c r="S3">
        <f>N3*O3</f>
        <v>28</v>
      </c>
      <c r="T3">
        <f>N3*O3</f>
        <v>28</v>
      </c>
    </row>
    <row r="4" spans="1:20" x14ac:dyDescent="0.2">
      <c r="A4" s="82" t="s">
        <v>44</v>
      </c>
      <c r="B4" s="27"/>
      <c r="C4" s="27">
        <v>1</v>
      </c>
      <c r="D4" s="28">
        <f>D3</f>
        <v>1000</v>
      </c>
      <c r="E4" s="28">
        <f t="shared" si="0"/>
        <v>1000</v>
      </c>
      <c r="F4" s="29"/>
      <c r="G4" s="30">
        <f>E4/96+1</f>
        <v>11.416666666666666</v>
      </c>
      <c r="H4" s="31" t="s">
        <v>72</v>
      </c>
      <c r="I4" s="32">
        <v>0</v>
      </c>
      <c r="J4" s="8">
        <f t="shared" ref="J4:J28" si="1">G4-I4</f>
        <v>11.416666666666666</v>
      </c>
      <c r="K4" s="31" t="s">
        <v>72</v>
      </c>
      <c r="L4" s="15" t="s">
        <v>99</v>
      </c>
      <c r="M4" s="15">
        <v>10</v>
      </c>
      <c r="N4" s="19">
        <v>67</v>
      </c>
      <c r="O4" s="26">
        <f t="shared" ref="O4:O28" si="2">J4/M4</f>
        <v>1.1416666666666666</v>
      </c>
      <c r="P4" s="41">
        <f t="shared" ref="P4:P28" si="3">ROUNDUP(O4,0)</f>
        <v>2</v>
      </c>
      <c r="Q4">
        <f t="shared" ref="Q4:Q28" si="4">N4*P4</f>
        <v>134</v>
      </c>
      <c r="S4">
        <f t="shared" ref="S4:S28" si="5">N4*O4</f>
        <v>76.49166666666666</v>
      </c>
      <c r="T4">
        <f t="shared" ref="T4:T28" si="6">N4*O4</f>
        <v>76.49166666666666</v>
      </c>
    </row>
    <row r="5" spans="1:20" x14ac:dyDescent="0.2">
      <c r="A5" s="82" t="s">
        <v>3</v>
      </c>
      <c r="B5" s="27"/>
      <c r="C5" s="27">
        <v>3</v>
      </c>
      <c r="D5" s="28">
        <f t="shared" ref="D5:D13" si="7">D4</f>
        <v>1000</v>
      </c>
      <c r="E5" s="28">
        <f t="shared" si="0"/>
        <v>3000</v>
      </c>
      <c r="F5" s="29"/>
      <c r="G5" s="30">
        <f>E5/96+1</f>
        <v>32.25</v>
      </c>
      <c r="H5" s="31" t="s">
        <v>72</v>
      </c>
      <c r="I5" s="32">
        <v>0</v>
      </c>
      <c r="J5" s="8">
        <f t="shared" si="1"/>
        <v>32.25</v>
      </c>
      <c r="K5" s="31" t="s">
        <v>72</v>
      </c>
      <c r="L5" s="15" t="s">
        <v>99</v>
      </c>
      <c r="M5" s="15">
        <v>10</v>
      </c>
      <c r="N5" s="19">
        <v>66</v>
      </c>
      <c r="O5" s="26">
        <f t="shared" si="2"/>
        <v>3.2250000000000001</v>
      </c>
      <c r="P5" s="41">
        <f t="shared" si="3"/>
        <v>4</v>
      </c>
      <c r="Q5">
        <f t="shared" si="4"/>
        <v>264</v>
      </c>
      <c r="S5">
        <f t="shared" si="5"/>
        <v>212.85</v>
      </c>
      <c r="T5">
        <f t="shared" si="6"/>
        <v>212.85</v>
      </c>
    </row>
    <row r="6" spans="1:20" x14ac:dyDescent="0.2">
      <c r="A6" s="82" t="s">
        <v>4</v>
      </c>
      <c r="B6" s="27"/>
      <c r="C6" s="27">
        <v>5</v>
      </c>
      <c r="D6" s="28">
        <f t="shared" si="7"/>
        <v>1000</v>
      </c>
      <c r="E6" s="28">
        <f t="shared" si="0"/>
        <v>5000</v>
      </c>
      <c r="F6" s="29"/>
      <c r="G6" s="30">
        <f>E6/96+1</f>
        <v>53.083333333333336</v>
      </c>
      <c r="H6" s="31" t="s">
        <v>72</v>
      </c>
      <c r="I6" s="32">
        <v>0</v>
      </c>
      <c r="J6" s="8">
        <f t="shared" si="1"/>
        <v>53.083333333333336</v>
      </c>
      <c r="K6" s="31" t="s">
        <v>72</v>
      </c>
      <c r="L6" s="15" t="s">
        <v>99</v>
      </c>
      <c r="M6" s="15">
        <v>10</v>
      </c>
      <c r="N6" s="19">
        <v>66</v>
      </c>
      <c r="O6" s="26">
        <f t="shared" si="2"/>
        <v>5.3083333333333336</v>
      </c>
      <c r="P6" s="41">
        <f t="shared" si="3"/>
        <v>6</v>
      </c>
      <c r="Q6">
        <f t="shared" si="4"/>
        <v>396</v>
      </c>
      <c r="S6">
        <f t="shared" si="5"/>
        <v>350.35</v>
      </c>
      <c r="T6">
        <f t="shared" si="6"/>
        <v>350.35</v>
      </c>
    </row>
    <row r="7" spans="1:20" x14ac:dyDescent="0.2">
      <c r="A7" s="82" t="s">
        <v>6</v>
      </c>
      <c r="B7" s="27" t="s">
        <v>47</v>
      </c>
      <c r="C7" s="27">
        <v>40</v>
      </c>
      <c r="D7" s="28">
        <f t="shared" si="7"/>
        <v>1000</v>
      </c>
      <c r="E7" s="28">
        <f t="shared" si="0"/>
        <v>40000</v>
      </c>
      <c r="F7" s="29">
        <f t="shared" ref="F7:F26" si="8">E7/1000</f>
        <v>40</v>
      </c>
      <c r="G7" s="29">
        <f>F7*10</f>
        <v>400</v>
      </c>
      <c r="H7" s="33" t="s">
        <v>51</v>
      </c>
      <c r="I7" s="32">
        <v>0</v>
      </c>
      <c r="J7" s="9">
        <f t="shared" si="1"/>
        <v>400</v>
      </c>
      <c r="K7" s="33" t="s">
        <v>51</v>
      </c>
      <c r="L7" s="15" t="s">
        <v>82</v>
      </c>
      <c r="M7" s="15">
        <v>100</v>
      </c>
      <c r="N7" s="19">
        <v>67</v>
      </c>
      <c r="O7" s="26">
        <f t="shared" si="2"/>
        <v>4</v>
      </c>
      <c r="P7" s="41">
        <f t="shared" si="3"/>
        <v>4</v>
      </c>
      <c r="Q7">
        <f t="shared" si="4"/>
        <v>268</v>
      </c>
      <c r="S7">
        <f t="shared" si="5"/>
        <v>268</v>
      </c>
      <c r="T7">
        <f t="shared" si="6"/>
        <v>268</v>
      </c>
    </row>
    <row r="8" spans="1:20" x14ac:dyDescent="0.2">
      <c r="A8" s="82" t="s">
        <v>7</v>
      </c>
      <c r="B8" s="27" t="s">
        <v>15</v>
      </c>
      <c r="C8" s="27">
        <v>20</v>
      </c>
      <c r="D8" s="28">
        <f t="shared" si="7"/>
        <v>1000</v>
      </c>
      <c r="E8" s="28">
        <f t="shared" si="0"/>
        <v>20000</v>
      </c>
      <c r="F8" s="29">
        <f t="shared" si="8"/>
        <v>20</v>
      </c>
      <c r="G8" s="29">
        <f>0.1543*F8</f>
        <v>3.0859999999999999</v>
      </c>
      <c r="H8" s="33" t="s">
        <v>52</v>
      </c>
      <c r="I8" s="32">
        <v>0</v>
      </c>
      <c r="J8" s="10">
        <f t="shared" si="1"/>
        <v>3.0859999999999999</v>
      </c>
      <c r="K8" s="33" t="s">
        <v>52</v>
      </c>
      <c r="L8" s="15" t="s">
        <v>118</v>
      </c>
      <c r="M8" s="15">
        <v>5</v>
      </c>
      <c r="N8" s="19">
        <v>20</v>
      </c>
      <c r="O8" s="26">
        <f t="shared" si="2"/>
        <v>0.61719999999999997</v>
      </c>
      <c r="P8" s="41">
        <f t="shared" si="3"/>
        <v>1</v>
      </c>
      <c r="Q8">
        <f t="shared" si="4"/>
        <v>20</v>
      </c>
      <c r="S8">
        <f t="shared" si="5"/>
        <v>12.343999999999999</v>
      </c>
      <c r="T8">
        <f t="shared" si="6"/>
        <v>12.343999999999999</v>
      </c>
    </row>
    <row r="9" spans="1:20" x14ac:dyDescent="0.2">
      <c r="A9" s="82" t="s">
        <v>9</v>
      </c>
      <c r="B9" s="27"/>
      <c r="C9" s="27">
        <v>1</v>
      </c>
      <c r="D9" s="28">
        <f t="shared" si="7"/>
        <v>1000</v>
      </c>
      <c r="E9" s="28">
        <f t="shared" si="0"/>
        <v>1000</v>
      </c>
      <c r="F9" s="29"/>
      <c r="G9" s="30">
        <f>E9</f>
        <v>1000</v>
      </c>
      <c r="H9" s="31" t="s">
        <v>9</v>
      </c>
      <c r="I9" s="32">
        <v>0</v>
      </c>
      <c r="J9" s="8">
        <f t="shared" si="1"/>
        <v>1000</v>
      </c>
      <c r="K9" s="31" t="s">
        <v>9</v>
      </c>
      <c r="L9" s="15" t="s">
        <v>75</v>
      </c>
      <c r="M9" s="15">
        <v>100</v>
      </c>
      <c r="N9" s="19">
        <v>87</v>
      </c>
      <c r="O9" s="26">
        <f t="shared" si="2"/>
        <v>10</v>
      </c>
      <c r="P9" s="41">
        <f t="shared" si="3"/>
        <v>10</v>
      </c>
      <c r="Q9">
        <f t="shared" si="4"/>
        <v>870</v>
      </c>
      <c r="S9">
        <f t="shared" si="5"/>
        <v>870</v>
      </c>
      <c r="T9">
        <f t="shared" si="6"/>
        <v>870</v>
      </c>
    </row>
    <row r="10" spans="1:20" x14ac:dyDescent="0.2">
      <c r="A10" s="82" t="s">
        <v>11</v>
      </c>
      <c r="B10" s="27"/>
      <c r="C10" s="27">
        <v>1.43E-2</v>
      </c>
      <c r="D10" s="28">
        <f t="shared" si="7"/>
        <v>1000</v>
      </c>
      <c r="E10" s="28">
        <f t="shared" si="0"/>
        <v>14.3</v>
      </c>
      <c r="F10" s="29"/>
      <c r="G10" s="30">
        <f>E10</f>
        <v>14.3</v>
      </c>
      <c r="H10" s="33" t="s">
        <v>64</v>
      </c>
      <c r="I10" s="32">
        <v>0</v>
      </c>
      <c r="J10" s="8">
        <f t="shared" si="1"/>
        <v>14.3</v>
      </c>
      <c r="K10" s="33" t="s">
        <v>64</v>
      </c>
      <c r="L10" s="15" t="s">
        <v>76</v>
      </c>
      <c r="M10" s="15">
        <v>50</v>
      </c>
      <c r="N10" s="19">
        <v>169</v>
      </c>
      <c r="O10" s="26">
        <f t="shared" si="2"/>
        <v>0.28600000000000003</v>
      </c>
      <c r="P10" s="41">
        <f t="shared" si="3"/>
        <v>1</v>
      </c>
      <c r="Q10">
        <f t="shared" si="4"/>
        <v>169</v>
      </c>
      <c r="S10">
        <f t="shared" si="5"/>
        <v>48.334000000000003</v>
      </c>
      <c r="T10">
        <f t="shared" si="6"/>
        <v>48.334000000000003</v>
      </c>
    </row>
    <row r="11" spans="1:20" x14ac:dyDescent="0.2">
      <c r="A11" s="82" t="s">
        <v>60</v>
      </c>
      <c r="B11" s="27" t="s">
        <v>61</v>
      </c>
      <c r="C11" s="27">
        <v>5</v>
      </c>
      <c r="D11" s="28">
        <f t="shared" si="7"/>
        <v>1000</v>
      </c>
      <c r="E11" s="28">
        <f t="shared" si="0"/>
        <v>5000</v>
      </c>
      <c r="F11" s="29">
        <f t="shared" si="8"/>
        <v>5</v>
      </c>
      <c r="G11" s="34">
        <f>F11/200</f>
        <v>2.5000000000000001E-2</v>
      </c>
      <c r="H11" s="33" t="s">
        <v>55</v>
      </c>
      <c r="I11" s="32">
        <v>0</v>
      </c>
      <c r="J11" s="10">
        <f t="shared" si="1"/>
        <v>2.5000000000000001E-2</v>
      </c>
      <c r="K11" s="33" t="s">
        <v>55</v>
      </c>
      <c r="L11" s="15" t="s">
        <v>119</v>
      </c>
      <c r="M11" s="15">
        <v>1</v>
      </c>
      <c r="N11" s="19">
        <v>200</v>
      </c>
      <c r="O11" s="26">
        <f t="shared" si="2"/>
        <v>2.5000000000000001E-2</v>
      </c>
      <c r="P11" s="41">
        <f t="shared" si="3"/>
        <v>1</v>
      </c>
      <c r="Q11">
        <f t="shared" si="4"/>
        <v>200</v>
      </c>
      <c r="S11">
        <f t="shared" si="5"/>
        <v>5</v>
      </c>
      <c r="T11">
        <f t="shared" si="6"/>
        <v>5</v>
      </c>
    </row>
    <row r="12" spans="1:20" x14ac:dyDescent="0.2">
      <c r="A12" s="82" t="s">
        <v>62</v>
      </c>
      <c r="B12" s="27"/>
      <c r="C12" s="27">
        <v>10</v>
      </c>
      <c r="D12" s="28">
        <f t="shared" si="7"/>
        <v>1000</v>
      </c>
      <c r="E12" s="28">
        <f t="shared" si="0"/>
        <v>10000</v>
      </c>
      <c r="F12" s="29">
        <f t="shared" si="8"/>
        <v>10</v>
      </c>
      <c r="G12" s="29">
        <f>F12</f>
        <v>10</v>
      </c>
      <c r="H12" s="33" t="s">
        <v>53</v>
      </c>
      <c r="I12" s="32">
        <v>0</v>
      </c>
      <c r="J12" s="9">
        <f t="shared" si="1"/>
        <v>10</v>
      </c>
      <c r="K12" s="35" t="s">
        <v>53</v>
      </c>
      <c r="L12" s="15" t="s">
        <v>108</v>
      </c>
      <c r="M12" s="15">
        <v>2</v>
      </c>
      <c r="N12" s="19">
        <v>613</v>
      </c>
      <c r="O12" s="26">
        <f t="shared" si="2"/>
        <v>5</v>
      </c>
      <c r="P12" s="41">
        <f t="shared" si="3"/>
        <v>5</v>
      </c>
      <c r="Q12">
        <f t="shared" si="4"/>
        <v>3065</v>
      </c>
      <c r="S12">
        <f t="shared" si="5"/>
        <v>3065</v>
      </c>
      <c r="T12">
        <f t="shared" si="6"/>
        <v>3065</v>
      </c>
    </row>
    <row r="13" spans="1:20" x14ac:dyDescent="0.2">
      <c r="A13" s="82" t="s">
        <v>12</v>
      </c>
      <c r="B13" s="27"/>
      <c r="C13" s="27">
        <v>1.43E-2</v>
      </c>
      <c r="D13" s="28">
        <f t="shared" si="7"/>
        <v>1000</v>
      </c>
      <c r="E13" s="28">
        <f t="shared" si="0"/>
        <v>14.3</v>
      </c>
      <c r="F13" s="29"/>
      <c r="G13" s="30">
        <f>E13</f>
        <v>14.3</v>
      </c>
      <c r="H13" s="33" t="s">
        <v>65</v>
      </c>
      <c r="I13" s="32">
        <v>0</v>
      </c>
      <c r="J13" s="8">
        <f t="shared" si="1"/>
        <v>14.3</v>
      </c>
      <c r="K13" s="33" t="s">
        <v>65</v>
      </c>
      <c r="L13" s="15" t="s">
        <v>109</v>
      </c>
      <c r="M13" s="15">
        <v>100</v>
      </c>
      <c r="N13" s="19">
        <v>71</v>
      </c>
      <c r="O13" s="26">
        <f t="shared" si="2"/>
        <v>0.14300000000000002</v>
      </c>
      <c r="P13" s="41">
        <f t="shared" si="3"/>
        <v>1</v>
      </c>
      <c r="Q13">
        <v>71</v>
      </c>
      <c r="S13">
        <f t="shared" si="5"/>
        <v>10.153</v>
      </c>
      <c r="T13">
        <f t="shared" si="6"/>
        <v>10.153</v>
      </c>
    </row>
    <row r="14" spans="1:20" x14ac:dyDescent="0.2">
      <c r="A14" s="82" t="s">
        <v>20</v>
      </c>
      <c r="B14" s="27"/>
      <c r="C14" s="27">
        <v>1.04E-2</v>
      </c>
      <c r="D14" s="27">
        <f>1.2*D3</f>
        <v>1200</v>
      </c>
      <c r="E14" s="28">
        <f t="shared" si="0"/>
        <v>12.479999999999999</v>
      </c>
      <c r="F14" s="29"/>
      <c r="G14" s="30">
        <f>E14</f>
        <v>12.479999999999999</v>
      </c>
      <c r="H14" s="33" t="s">
        <v>64</v>
      </c>
      <c r="I14" s="32">
        <v>0</v>
      </c>
      <c r="J14" s="8">
        <f t="shared" si="1"/>
        <v>12.479999999999999</v>
      </c>
      <c r="K14" s="33" t="s">
        <v>64</v>
      </c>
      <c r="L14" s="15" t="s">
        <v>87</v>
      </c>
      <c r="M14" s="15">
        <v>25</v>
      </c>
      <c r="N14" s="19">
        <v>39</v>
      </c>
      <c r="O14" s="26">
        <f t="shared" si="2"/>
        <v>0.49919999999999992</v>
      </c>
      <c r="P14" s="41">
        <f t="shared" si="3"/>
        <v>1</v>
      </c>
      <c r="Q14">
        <v>39</v>
      </c>
      <c r="S14">
        <f t="shared" si="5"/>
        <v>19.468799999999998</v>
      </c>
      <c r="T14">
        <f t="shared" si="6"/>
        <v>19.468799999999998</v>
      </c>
    </row>
    <row r="15" spans="1:20" x14ac:dyDescent="0.2">
      <c r="A15" s="82" t="s">
        <v>92</v>
      </c>
      <c r="B15" s="27"/>
      <c r="C15" s="27">
        <v>1.04E-2</v>
      </c>
      <c r="D15" s="27">
        <f t="shared" ref="D15:D26" si="9">D14</f>
        <v>1200</v>
      </c>
      <c r="E15" s="28">
        <f t="shared" si="0"/>
        <v>12.479999999999999</v>
      </c>
      <c r="F15" s="29"/>
      <c r="G15" s="30">
        <f>E15</f>
        <v>12.479999999999999</v>
      </c>
      <c r="H15" s="33" t="s">
        <v>65</v>
      </c>
      <c r="I15" s="32">
        <v>0</v>
      </c>
      <c r="J15" s="8">
        <f t="shared" si="1"/>
        <v>12.479999999999999</v>
      </c>
      <c r="K15" s="33" t="s">
        <v>65</v>
      </c>
      <c r="L15" s="15" t="s">
        <v>75</v>
      </c>
      <c r="M15" s="15">
        <v>100</v>
      </c>
      <c r="N15" s="19">
        <v>89</v>
      </c>
      <c r="O15" s="26">
        <f t="shared" si="2"/>
        <v>0.12479999999999998</v>
      </c>
      <c r="P15" s="41">
        <f t="shared" si="3"/>
        <v>1</v>
      </c>
      <c r="Q15">
        <v>71</v>
      </c>
      <c r="S15">
        <f t="shared" si="5"/>
        <v>11.107199999999999</v>
      </c>
      <c r="T15">
        <f t="shared" si="6"/>
        <v>11.107199999999999</v>
      </c>
    </row>
    <row r="16" spans="1:20" x14ac:dyDescent="0.2">
      <c r="A16" s="82" t="s">
        <v>5</v>
      </c>
      <c r="B16" s="27"/>
      <c r="C16" s="27">
        <v>2</v>
      </c>
      <c r="D16" s="27">
        <f t="shared" si="9"/>
        <v>1200</v>
      </c>
      <c r="E16" s="28">
        <f t="shared" si="0"/>
        <v>2400</v>
      </c>
      <c r="F16" s="29"/>
      <c r="G16" s="30">
        <f>E16/96+1</f>
        <v>26</v>
      </c>
      <c r="H16" s="33" t="s">
        <v>72</v>
      </c>
      <c r="I16" s="32">
        <v>0</v>
      </c>
      <c r="J16" s="8">
        <f t="shared" si="1"/>
        <v>26</v>
      </c>
      <c r="K16" s="33" t="s">
        <v>72</v>
      </c>
      <c r="L16" s="15" t="s">
        <v>98</v>
      </c>
      <c r="M16" s="15">
        <v>8</v>
      </c>
      <c r="N16" s="19">
        <v>89</v>
      </c>
      <c r="O16" s="26">
        <f t="shared" si="2"/>
        <v>3.25</v>
      </c>
      <c r="P16" s="41">
        <f t="shared" si="3"/>
        <v>4</v>
      </c>
      <c r="Q16">
        <v>89</v>
      </c>
      <c r="S16">
        <f t="shared" si="5"/>
        <v>289.25</v>
      </c>
      <c r="T16">
        <f t="shared" si="6"/>
        <v>289.25</v>
      </c>
    </row>
    <row r="17" spans="1:20" x14ac:dyDescent="0.2">
      <c r="A17" s="82" t="s">
        <v>93</v>
      </c>
      <c r="B17" s="3" t="s">
        <v>8</v>
      </c>
      <c r="C17" s="3">
        <v>100</v>
      </c>
      <c r="D17" s="3">
        <f>D16</f>
        <v>1200</v>
      </c>
      <c r="E17" s="4">
        <f t="shared" si="0"/>
        <v>120000</v>
      </c>
      <c r="F17" s="5">
        <f t="shared" si="8"/>
        <v>120</v>
      </c>
      <c r="G17" s="11">
        <f>F17/1000</f>
        <v>0.12</v>
      </c>
      <c r="H17" s="13" t="s">
        <v>68</v>
      </c>
      <c r="I17" s="7">
        <v>0</v>
      </c>
      <c r="J17" s="10">
        <f t="shared" si="1"/>
        <v>0.12</v>
      </c>
      <c r="K17" s="13" t="s">
        <v>68</v>
      </c>
      <c r="L17" s="15" t="s">
        <v>110</v>
      </c>
      <c r="M17" s="15">
        <v>1</v>
      </c>
      <c r="N17" s="19">
        <v>87</v>
      </c>
      <c r="O17" s="26">
        <f t="shared" si="2"/>
        <v>0.12</v>
      </c>
      <c r="P17" s="41">
        <f t="shared" si="3"/>
        <v>1</v>
      </c>
      <c r="Q17">
        <f t="shared" si="4"/>
        <v>87</v>
      </c>
      <c r="S17">
        <f t="shared" si="5"/>
        <v>10.44</v>
      </c>
      <c r="T17">
        <f t="shared" si="6"/>
        <v>10.44</v>
      </c>
    </row>
    <row r="18" spans="1:20" x14ac:dyDescent="0.2">
      <c r="A18" s="82" t="s">
        <v>94</v>
      </c>
      <c r="B18" s="3"/>
      <c r="C18" s="3">
        <v>20</v>
      </c>
      <c r="D18" s="3">
        <f t="shared" si="9"/>
        <v>1200</v>
      </c>
      <c r="E18" s="4">
        <f t="shared" si="0"/>
        <v>24000</v>
      </c>
      <c r="F18" s="5">
        <f t="shared" si="8"/>
        <v>24</v>
      </c>
      <c r="G18" s="11">
        <f>F18</f>
        <v>24</v>
      </c>
      <c r="H18" s="13" t="s">
        <v>53</v>
      </c>
      <c r="I18" s="7">
        <v>0</v>
      </c>
      <c r="J18" s="10">
        <f t="shared" si="1"/>
        <v>24</v>
      </c>
      <c r="K18" s="13" t="s">
        <v>53</v>
      </c>
      <c r="L18" s="15" t="s">
        <v>111</v>
      </c>
      <c r="M18" s="15">
        <v>1</v>
      </c>
      <c r="N18" s="19"/>
      <c r="O18" s="26">
        <f t="shared" si="2"/>
        <v>24</v>
      </c>
      <c r="P18" s="41">
        <f t="shared" si="3"/>
        <v>24</v>
      </c>
      <c r="Q18">
        <f t="shared" si="4"/>
        <v>0</v>
      </c>
      <c r="R18" t="s">
        <v>131</v>
      </c>
      <c r="S18">
        <f t="shared" si="5"/>
        <v>0</v>
      </c>
      <c r="T18">
        <f t="shared" si="6"/>
        <v>0</v>
      </c>
    </row>
    <row r="19" spans="1:20" x14ac:dyDescent="0.2">
      <c r="A19" s="82" t="s">
        <v>14</v>
      </c>
      <c r="B19" s="3" t="s">
        <v>15</v>
      </c>
      <c r="C19" s="3">
        <v>100</v>
      </c>
      <c r="D19" s="3">
        <f t="shared" si="9"/>
        <v>1200</v>
      </c>
      <c r="E19" s="4">
        <f t="shared" si="0"/>
        <v>120000</v>
      </c>
      <c r="F19" s="5">
        <f t="shared" si="8"/>
        <v>120</v>
      </c>
      <c r="G19" s="11">
        <f>F19*0.04</f>
        <v>4.8</v>
      </c>
      <c r="H19" s="13" t="s">
        <v>52</v>
      </c>
      <c r="I19" s="7">
        <v>0</v>
      </c>
      <c r="J19" s="10">
        <f t="shared" si="1"/>
        <v>4.8</v>
      </c>
      <c r="K19" s="13" t="s">
        <v>52</v>
      </c>
      <c r="L19" s="15" t="s">
        <v>106</v>
      </c>
      <c r="M19" s="15">
        <v>500</v>
      </c>
      <c r="N19" s="19">
        <v>18</v>
      </c>
      <c r="O19" s="26">
        <f t="shared" si="2"/>
        <v>9.5999999999999992E-3</v>
      </c>
      <c r="P19" s="41">
        <f t="shared" si="3"/>
        <v>1</v>
      </c>
      <c r="Q19">
        <f t="shared" si="4"/>
        <v>18</v>
      </c>
      <c r="S19">
        <f t="shared" si="5"/>
        <v>0.17279999999999998</v>
      </c>
      <c r="T19">
        <f t="shared" si="6"/>
        <v>0.17279999999999998</v>
      </c>
    </row>
    <row r="20" spans="1:20" x14ac:dyDescent="0.2">
      <c r="A20" s="82" t="s">
        <v>16</v>
      </c>
      <c r="B20" s="3" t="s">
        <v>17</v>
      </c>
      <c r="C20" s="3">
        <v>50</v>
      </c>
      <c r="D20" s="3">
        <f t="shared" si="9"/>
        <v>1200</v>
      </c>
      <c r="E20" s="4">
        <f t="shared" si="0"/>
        <v>60000</v>
      </c>
      <c r="F20" s="5">
        <f t="shared" si="8"/>
        <v>60</v>
      </c>
      <c r="G20" s="11">
        <f>F20/1000</f>
        <v>0.06</v>
      </c>
      <c r="H20" s="13" t="s">
        <v>56</v>
      </c>
      <c r="I20" s="7">
        <v>0</v>
      </c>
      <c r="J20" s="10">
        <f t="shared" si="1"/>
        <v>0.06</v>
      </c>
      <c r="K20" s="13" t="s">
        <v>56</v>
      </c>
      <c r="L20" s="15" t="s">
        <v>101</v>
      </c>
      <c r="M20" s="15">
        <v>1</v>
      </c>
      <c r="N20" s="19">
        <v>150</v>
      </c>
      <c r="O20" s="26">
        <f t="shared" si="2"/>
        <v>0.06</v>
      </c>
      <c r="P20" s="41">
        <f t="shared" si="3"/>
        <v>1</v>
      </c>
      <c r="Q20">
        <f t="shared" si="4"/>
        <v>150</v>
      </c>
      <c r="S20">
        <f t="shared" si="5"/>
        <v>9</v>
      </c>
      <c r="T20">
        <f t="shared" si="6"/>
        <v>9</v>
      </c>
    </row>
    <row r="21" spans="1:20" x14ac:dyDescent="0.2">
      <c r="A21" s="82" t="s">
        <v>95</v>
      </c>
      <c r="B21" s="3" t="s">
        <v>18</v>
      </c>
      <c r="C21" s="3">
        <v>50</v>
      </c>
      <c r="D21" s="3">
        <f t="shared" si="9"/>
        <v>1200</v>
      </c>
      <c r="E21" s="4">
        <f t="shared" si="0"/>
        <v>60000</v>
      </c>
      <c r="F21" s="5">
        <f t="shared" si="8"/>
        <v>60</v>
      </c>
      <c r="G21" s="11">
        <f>F21/10</f>
        <v>6</v>
      </c>
      <c r="H21" s="13" t="s">
        <v>54</v>
      </c>
      <c r="I21" s="7">
        <v>0</v>
      </c>
      <c r="J21" s="10">
        <f t="shared" si="1"/>
        <v>6</v>
      </c>
      <c r="K21" s="13" t="s">
        <v>54</v>
      </c>
      <c r="L21" s="15" t="s">
        <v>91</v>
      </c>
      <c r="M21" s="15">
        <v>200</v>
      </c>
      <c r="N21" s="19">
        <v>540</v>
      </c>
      <c r="O21" s="26">
        <f t="shared" si="2"/>
        <v>0.03</v>
      </c>
      <c r="P21" s="41">
        <f t="shared" si="3"/>
        <v>1</v>
      </c>
      <c r="Q21">
        <f t="shared" si="4"/>
        <v>540</v>
      </c>
      <c r="S21">
        <f t="shared" si="5"/>
        <v>16.2</v>
      </c>
      <c r="T21">
        <f t="shared" si="6"/>
        <v>16.2</v>
      </c>
    </row>
    <row r="22" spans="1:20" x14ac:dyDescent="0.2">
      <c r="A22" s="18" t="s">
        <v>19</v>
      </c>
      <c r="B22" s="3"/>
      <c r="C22" s="3">
        <v>50</v>
      </c>
      <c r="D22" s="3">
        <f t="shared" si="9"/>
        <v>1200</v>
      </c>
      <c r="E22" s="4">
        <f t="shared" si="0"/>
        <v>60000</v>
      </c>
      <c r="F22" s="5">
        <f t="shared" si="8"/>
        <v>60</v>
      </c>
      <c r="G22" s="11">
        <f>F22*0.005</f>
        <v>0.3</v>
      </c>
      <c r="H22" s="13" t="s">
        <v>63</v>
      </c>
      <c r="I22" s="7">
        <v>0</v>
      </c>
      <c r="J22" s="10">
        <f t="shared" si="1"/>
        <v>0.3</v>
      </c>
      <c r="K22" s="13" t="s">
        <v>63</v>
      </c>
      <c r="L22" s="15" t="s">
        <v>88</v>
      </c>
      <c r="M22" s="15">
        <v>100</v>
      </c>
      <c r="N22" s="19">
        <v>109</v>
      </c>
      <c r="O22" s="26">
        <f t="shared" si="2"/>
        <v>3.0000000000000001E-3</v>
      </c>
      <c r="P22" s="41">
        <f t="shared" si="3"/>
        <v>1</v>
      </c>
      <c r="Q22">
        <f t="shared" si="4"/>
        <v>109</v>
      </c>
      <c r="S22">
        <f t="shared" si="5"/>
        <v>0.32700000000000001</v>
      </c>
      <c r="T22">
        <f t="shared" si="6"/>
        <v>0.32700000000000001</v>
      </c>
    </row>
    <row r="23" spans="1:20" x14ac:dyDescent="0.2">
      <c r="A23" s="18" t="s">
        <v>57</v>
      </c>
      <c r="B23" s="3"/>
      <c r="C23" s="3">
        <v>50</v>
      </c>
      <c r="D23" s="3">
        <f t="shared" si="9"/>
        <v>1200</v>
      </c>
      <c r="E23" s="4">
        <f t="shared" si="0"/>
        <v>60000</v>
      </c>
      <c r="F23" s="5">
        <f t="shared" si="8"/>
        <v>60</v>
      </c>
      <c r="G23" s="5">
        <f>F23</f>
        <v>60</v>
      </c>
      <c r="H23" s="13" t="s">
        <v>53</v>
      </c>
      <c r="I23" s="7">
        <v>0</v>
      </c>
      <c r="J23" s="9">
        <f t="shared" si="1"/>
        <v>60</v>
      </c>
      <c r="K23" s="13" t="s">
        <v>53</v>
      </c>
      <c r="L23" s="15" t="s">
        <v>112</v>
      </c>
      <c r="M23" s="15">
        <v>25</v>
      </c>
      <c r="N23" s="19">
        <v>78</v>
      </c>
      <c r="O23" s="26">
        <f t="shared" si="2"/>
        <v>2.4</v>
      </c>
      <c r="P23" s="41">
        <f t="shared" si="3"/>
        <v>3</v>
      </c>
      <c r="Q23">
        <f t="shared" si="4"/>
        <v>234</v>
      </c>
      <c r="S23">
        <f t="shared" si="5"/>
        <v>187.2</v>
      </c>
      <c r="T23">
        <f t="shared" si="6"/>
        <v>187.2</v>
      </c>
    </row>
    <row r="24" spans="1:20" x14ac:dyDescent="0.2">
      <c r="A24" s="18" t="s">
        <v>58</v>
      </c>
      <c r="B24" s="3"/>
      <c r="C24" s="3">
        <v>50</v>
      </c>
      <c r="D24" s="3">
        <f t="shared" si="9"/>
        <v>1200</v>
      </c>
      <c r="E24" s="4">
        <f t="shared" si="0"/>
        <v>60000</v>
      </c>
      <c r="F24" s="5">
        <f t="shared" si="8"/>
        <v>60</v>
      </c>
      <c r="G24" s="5">
        <f>F24</f>
        <v>60</v>
      </c>
      <c r="H24" s="13" t="s">
        <v>53</v>
      </c>
      <c r="I24" s="7">
        <v>0</v>
      </c>
      <c r="J24" s="9">
        <f t="shared" si="1"/>
        <v>60</v>
      </c>
      <c r="K24" s="13" t="s">
        <v>53</v>
      </c>
      <c r="L24" s="15" t="s">
        <v>112</v>
      </c>
      <c r="M24" s="15">
        <v>25</v>
      </c>
      <c r="N24" s="19">
        <v>0</v>
      </c>
      <c r="O24" s="26">
        <f t="shared" si="2"/>
        <v>2.4</v>
      </c>
      <c r="P24" s="41">
        <f t="shared" si="3"/>
        <v>3</v>
      </c>
      <c r="Q24">
        <f t="shared" si="4"/>
        <v>0</v>
      </c>
      <c r="R24" t="s">
        <v>132</v>
      </c>
      <c r="S24">
        <f t="shared" si="5"/>
        <v>0</v>
      </c>
      <c r="T24">
        <f t="shared" si="6"/>
        <v>0</v>
      </c>
    </row>
    <row r="25" spans="1:20" x14ac:dyDescent="0.2">
      <c r="A25" s="18" t="s">
        <v>21</v>
      </c>
      <c r="B25" s="3"/>
      <c r="C25" s="3">
        <v>1.04E-2</v>
      </c>
      <c r="D25" s="3">
        <f t="shared" si="9"/>
        <v>1200</v>
      </c>
      <c r="E25" s="4">
        <f t="shared" si="0"/>
        <v>12.479999999999999</v>
      </c>
      <c r="F25" s="5"/>
      <c r="G25" s="6">
        <f>E25</f>
        <v>12.479999999999999</v>
      </c>
      <c r="H25" s="13" t="s">
        <v>64</v>
      </c>
      <c r="I25" s="7">
        <v>0</v>
      </c>
      <c r="J25" s="8">
        <f t="shared" si="1"/>
        <v>12.479999999999999</v>
      </c>
      <c r="K25" s="13" t="s">
        <v>64</v>
      </c>
      <c r="L25" s="15" t="s">
        <v>76</v>
      </c>
      <c r="M25" s="15">
        <v>50</v>
      </c>
      <c r="N25" s="19">
        <v>191</v>
      </c>
      <c r="O25" s="26">
        <f t="shared" si="2"/>
        <v>0.24959999999999996</v>
      </c>
      <c r="P25" s="41">
        <f t="shared" si="3"/>
        <v>1</v>
      </c>
      <c r="Q25">
        <f t="shared" si="4"/>
        <v>191</v>
      </c>
      <c r="S25">
        <f t="shared" si="5"/>
        <v>47.673599999999993</v>
      </c>
      <c r="T25">
        <f t="shared" si="6"/>
        <v>47.673599999999993</v>
      </c>
    </row>
    <row r="26" spans="1:20" x14ac:dyDescent="0.2">
      <c r="A26" s="18" t="s">
        <v>59</v>
      </c>
      <c r="B26" s="12">
        <v>0.1</v>
      </c>
      <c r="C26" s="3">
        <v>100</v>
      </c>
      <c r="D26" s="3">
        <f t="shared" si="9"/>
        <v>1200</v>
      </c>
      <c r="E26" s="4">
        <f t="shared" si="0"/>
        <v>120000</v>
      </c>
      <c r="F26" s="5">
        <f t="shared" si="8"/>
        <v>120</v>
      </c>
      <c r="G26" s="5">
        <f>F26/10</f>
        <v>12</v>
      </c>
      <c r="H26" s="13" t="s">
        <v>53</v>
      </c>
      <c r="I26" s="7">
        <v>0</v>
      </c>
      <c r="J26" s="9">
        <f t="shared" si="1"/>
        <v>12</v>
      </c>
      <c r="K26" s="13" t="s">
        <v>53</v>
      </c>
      <c r="L26" s="15" t="s">
        <v>113</v>
      </c>
      <c r="M26" s="15">
        <v>200</v>
      </c>
      <c r="N26" s="19">
        <v>97</v>
      </c>
      <c r="O26" s="26">
        <f t="shared" si="2"/>
        <v>0.06</v>
      </c>
      <c r="P26" s="41">
        <f t="shared" si="3"/>
        <v>1</v>
      </c>
      <c r="Q26">
        <f t="shared" si="4"/>
        <v>97</v>
      </c>
      <c r="S26">
        <f t="shared" si="5"/>
        <v>5.8199999999999994</v>
      </c>
      <c r="T26">
        <f t="shared" si="6"/>
        <v>5.8199999999999994</v>
      </c>
    </row>
    <row r="27" spans="1:20" x14ac:dyDescent="0.2">
      <c r="A27" s="18" t="s">
        <v>96</v>
      </c>
      <c r="B27" s="15"/>
      <c r="C27" s="15"/>
      <c r="D27" s="15">
        <f>D26/12</f>
        <v>100</v>
      </c>
      <c r="E27" s="15"/>
      <c r="F27" s="16"/>
      <c r="G27" s="16">
        <f>D14/12</f>
        <v>100</v>
      </c>
      <c r="H27" s="17"/>
      <c r="I27" s="7">
        <v>0</v>
      </c>
      <c r="J27" s="9">
        <f t="shared" si="1"/>
        <v>100</v>
      </c>
      <c r="K27" s="17" t="s">
        <v>83</v>
      </c>
      <c r="L27" s="15" t="s">
        <v>114</v>
      </c>
      <c r="M27" s="15">
        <v>1</v>
      </c>
      <c r="N27" s="19">
        <v>10</v>
      </c>
      <c r="O27" s="26">
        <f t="shared" si="2"/>
        <v>100</v>
      </c>
      <c r="P27" s="41">
        <f t="shared" si="3"/>
        <v>100</v>
      </c>
      <c r="Q27">
        <f t="shared" si="4"/>
        <v>1000</v>
      </c>
      <c r="S27">
        <f t="shared" si="5"/>
        <v>1000</v>
      </c>
      <c r="T27">
        <f t="shared" si="6"/>
        <v>1000</v>
      </c>
    </row>
    <row r="28" spans="1:20" x14ac:dyDescent="0.2">
      <c r="A28" s="18" t="s">
        <v>84</v>
      </c>
      <c r="B28" s="15"/>
      <c r="C28" s="3">
        <v>1</v>
      </c>
      <c r="D28" s="8">
        <f>E3</f>
        <v>1000</v>
      </c>
      <c r="E28" s="8"/>
      <c r="F28" s="16"/>
      <c r="G28" s="16">
        <f>D3*C28</f>
        <v>1000</v>
      </c>
      <c r="H28" s="17"/>
      <c r="I28" s="15">
        <v>0</v>
      </c>
      <c r="J28" s="9">
        <f t="shared" si="1"/>
        <v>1000</v>
      </c>
      <c r="K28" s="17" t="s">
        <v>49</v>
      </c>
      <c r="L28" s="15" t="s">
        <v>85</v>
      </c>
      <c r="M28" s="15">
        <v>500</v>
      </c>
      <c r="N28" s="19">
        <v>99</v>
      </c>
      <c r="O28" s="26">
        <f t="shared" si="2"/>
        <v>2</v>
      </c>
      <c r="P28" s="41">
        <f t="shared" si="3"/>
        <v>2</v>
      </c>
      <c r="Q28">
        <f t="shared" si="4"/>
        <v>198</v>
      </c>
      <c r="S28">
        <f t="shared" si="5"/>
        <v>198</v>
      </c>
      <c r="T28">
        <f t="shared" si="6"/>
        <v>198</v>
      </c>
    </row>
    <row r="29" spans="1:20" x14ac:dyDescent="0.2">
      <c r="Q29">
        <f>SUM(Q3:Q28)</f>
        <v>8308</v>
      </c>
      <c r="S29">
        <f t="shared" ref="S29" si="10">SUM(S3:S28)</f>
        <v>6741.1820666666663</v>
      </c>
      <c r="T29">
        <f>SUM(T3:T28)</f>
        <v>6741.1820666666663</v>
      </c>
    </row>
    <row r="30" spans="1:20" x14ac:dyDescent="0.2">
      <c r="N30"/>
      <c r="O30"/>
      <c r="P30" s="43"/>
    </row>
  </sheetData>
  <mergeCells count="1">
    <mergeCell ref="A1:L1"/>
  </mergeCells>
  <pageMargins left="0.75" right="0.75" top="1" bottom="1" header="0.5" footer="0.5"/>
  <pageSetup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1"/>
  <sheetViews>
    <sheetView zoomScale="112" zoomScaleNormal="100" workbookViewId="0">
      <selection sqref="A1:L1"/>
    </sheetView>
  </sheetViews>
  <sheetFormatPr defaultColWidth="10.85546875" defaultRowHeight="12.75" x14ac:dyDescent="0.2"/>
  <cols>
    <col min="1" max="1" width="32.28515625" style="49" customWidth="1"/>
    <col min="2" max="2" width="20.140625" style="67" hidden="1" customWidth="1"/>
    <col min="3" max="3" width="6.7109375" style="49" hidden="1" customWidth="1"/>
    <col min="4" max="4" width="10.85546875" style="47" customWidth="1"/>
    <col min="5" max="5" width="14.28515625" style="49" hidden="1" customWidth="1"/>
    <col min="6" max="6" width="12.140625" style="49" hidden="1" customWidth="1"/>
    <col min="7" max="7" width="10.7109375" style="49" hidden="1" customWidth="1"/>
    <col min="8" max="8" width="16.140625" style="49" customWidth="1"/>
    <col min="9" max="9" width="10.85546875" style="49" customWidth="1"/>
    <col min="10" max="10" width="7.85546875" style="49" customWidth="1"/>
    <col min="11" max="11" width="16.42578125" style="49" customWidth="1"/>
    <col min="12" max="12" width="21.85546875" style="38" customWidth="1"/>
    <col min="13" max="14" width="10.7109375" style="62" customWidth="1"/>
    <col min="15" max="15" width="6.28515625" style="19" customWidth="1"/>
    <col min="16" max="16" width="9.85546875" style="17" customWidth="1"/>
    <col min="17" max="17" width="10.85546875" style="17" customWidth="1"/>
    <col min="18" max="16384" width="10.85546875" style="17"/>
  </cols>
  <sheetData>
    <row r="1" spans="1:17" s="94" customFormat="1" ht="64.5" customHeight="1" x14ac:dyDescent="0.2">
      <c r="A1" s="89" t="s">
        <v>151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1"/>
      <c r="M1" s="92"/>
      <c r="N1" s="92"/>
      <c r="O1" s="93"/>
    </row>
    <row r="2" spans="1:17" ht="92.25" x14ac:dyDescent="0.25">
      <c r="A2" s="44" t="s">
        <v>145</v>
      </c>
      <c r="B2" s="66" t="s">
        <v>0</v>
      </c>
      <c r="C2" s="45" t="s">
        <v>10</v>
      </c>
      <c r="D2" s="63" t="s">
        <v>146</v>
      </c>
      <c r="E2" s="45" t="s">
        <v>24</v>
      </c>
      <c r="F2" s="45" t="s">
        <v>13</v>
      </c>
      <c r="G2" s="45" t="s">
        <v>22</v>
      </c>
      <c r="H2" s="45" t="s">
        <v>147</v>
      </c>
      <c r="I2" s="45" t="s">
        <v>141</v>
      </c>
      <c r="J2" s="45" t="s">
        <v>148</v>
      </c>
      <c r="K2" s="45" t="s">
        <v>48</v>
      </c>
      <c r="L2" s="37" t="s">
        <v>86</v>
      </c>
      <c r="M2" s="36" t="s">
        <v>97</v>
      </c>
      <c r="N2" s="36" t="s">
        <v>134</v>
      </c>
      <c r="O2" s="20" t="s">
        <v>81</v>
      </c>
      <c r="P2" s="80" t="s">
        <v>149</v>
      </c>
      <c r="Q2" s="80" t="s">
        <v>150</v>
      </c>
    </row>
    <row r="3" spans="1:17" s="46" customFormat="1" ht="15" x14ac:dyDescent="0.25">
      <c r="A3" s="71" t="s">
        <v>124</v>
      </c>
      <c r="B3" s="72" t="s">
        <v>125</v>
      </c>
      <c r="D3" s="73">
        <v>10000</v>
      </c>
      <c r="E3" s="74"/>
      <c r="F3" s="74"/>
      <c r="G3" s="75">
        <f>D3</f>
        <v>10000</v>
      </c>
      <c r="H3" s="75">
        <f>G3/144</f>
        <v>69.444444444444443</v>
      </c>
      <c r="I3" s="75">
        <v>0</v>
      </c>
      <c r="J3" s="75">
        <f>H3-I3</f>
        <v>69.444444444444443</v>
      </c>
      <c r="K3" s="75" t="s">
        <v>126</v>
      </c>
      <c r="L3" s="39" t="s">
        <v>126</v>
      </c>
      <c r="M3" s="39">
        <f>J3</f>
        <v>69.444444444444443</v>
      </c>
      <c r="N3" s="40">
        <f>ROUNDUP(M3,0)</f>
        <v>70</v>
      </c>
      <c r="O3" s="76">
        <v>3.24</v>
      </c>
      <c r="Q3" s="46">
        <f>M3*O3</f>
        <v>225</v>
      </c>
    </row>
    <row r="4" spans="1:17" ht="15" hidden="1" x14ac:dyDescent="0.25">
      <c r="A4" s="71" t="s">
        <v>27</v>
      </c>
      <c r="B4" s="72" t="s">
        <v>23</v>
      </c>
      <c r="C4" s="75">
        <v>200</v>
      </c>
      <c r="D4" s="73">
        <f>D3</f>
        <v>10000</v>
      </c>
      <c r="E4" s="75">
        <f>C4*D4</f>
        <v>2000000</v>
      </c>
      <c r="F4" s="75">
        <f>E4/1000</f>
        <v>2000</v>
      </c>
      <c r="G4" s="75">
        <f>F4*0.05</f>
        <v>100</v>
      </c>
      <c r="H4" s="75" t="s">
        <v>63</v>
      </c>
      <c r="I4" s="75">
        <v>0</v>
      </c>
      <c r="J4" s="75"/>
      <c r="K4" s="75" t="s">
        <v>107</v>
      </c>
      <c r="L4" s="38" t="s">
        <v>88</v>
      </c>
      <c r="M4" s="39">
        <f t="shared" ref="M4:M20" si="0">J4</f>
        <v>0</v>
      </c>
      <c r="N4" s="40"/>
      <c r="P4" s="46"/>
      <c r="Q4" s="46">
        <f t="shared" ref="Q4:Q25" si="1">M4*O4</f>
        <v>0</v>
      </c>
    </row>
    <row r="5" spans="1:17" ht="15" x14ac:dyDescent="0.25">
      <c r="A5" s="71" t="s">
        <v>25</v>
      </c>
      <c r="B5" s="72" t="s">
        <v>26</v>
      </c>
      <c r="C5" s="75">
        <v>100</v>
      </c>
      <c r="D5" s="73">
        <f>D4*2.5263</f>
        <v>25263</v>
      </c>
      <c r="E5" s="75">
        <f>C5*D5</f>
        <v>2526300</v>
      </c>
      <c r="F5" s="75">
        <f>E5/1000</f>
        <v>2526.3000000000002</v>
      </c>
      <c r="G5" s="75">
        <f>F5/1000</f>
        <v>2.5263</v>
      </c>
      <c r="H5" s="75" t="s">
        <v>69</v>
      </c>
      <c r="I5" s="75">
        <v>0</v>
      </c>
      <c r="J5" s="75">
        <f>G5-I5</f>
        <v>2.5263</v>
      </c>
      <c r="K5" s="75" t="s">
        <v>69</v>
      </c>
      <c r="L5" s="38" t="s">
        <v>115</v>
      </c>
      <c r="M5" s="39">
        <f t="shared" si="0"/>
        <v>2.5263</v>
      </c>
      <c r="N5" s="40">
        <f t="shared" ref="N5:N19" si="2">ROUNDUP(M5,0)</f>
        <v>3</v>
      </c>
      <c r="O5" s="19">
        <v>250</v>
      </c>
      <c r="P5" s="46">
        <f t="shared" ref="P5:P25" si="3">N5*O5</f>
        <v>750</v>
      </c>
      <c r="Q5" s="46">
        <f t="shared" si="1"/>
        <v>631.57500000000005</v>
      </c>
    </row>
    <row r="6" spans="1:17" ht="15" hidden="1" x14ac:dyDescent="0.25">
      <c r="A6" s="71" t="s">
        <v>28</v>
      </c>
      <c r="B6" s="72" t="s">
        <v>23</v>
      </c>
      <c r="C6" s="75">
        <v>100</v>
      </c>
      <c r="D6" s="73">
        <f>D5</f>
        <v>25263</v>
      </c>
      <c r="E6" s="75">
        <f>C6*D6</f>
        <v>2526300</v>
      </c>
      <c r="F6" s="75">
        <f>E6/1000</f>
        <v>2526.3000000000002</v>
      </c>
      <c r="G6" s="75">
        <f>F6*0.05</f>
        <v>126.31500000000001</v>
      </c>
      <c r="H6" s="75" t="s">
        <v>63</v>
      </c>
      <c r="I6" s="75">
        <v>0</v>
      </c>
      <c r="J6" s="75"/>
      <c r="K6" s="75" t="s">
        <v>107</v>
      </c>
      <c r="M6" s="39">
        <f t="shared" si="0"/>
        <v>0</v>
      </c>
      <c r="N6" s="40"/>
      <c r="P6" s="46"/>
      <c r="Q6" s="46">
        <f t="shared" si="1"/>
        <v>0</v>
      </c>
    </row>
    <row r="7" spans="1:17" ht="15" x14ac:dyDescent="0.25">
      <c r="A7" s="71" t="s">
        <v>135</v>
      </c>
      <c r="B7" s="72" t="s">
        <v>136</v>
      </c>
      <c r="C7" s="75">
        <v>11</v>
      </c>
      <c r="D7" s="73">
        <f>D6</f>
        <v>25263</v>
      </c>
      <c r="E7" s="75">
        <f>C7*D7</f>
        <v>277893</v>
      </c>
      <c r="F7" s="75">
        <f>E7/1000</f>
        <v>277.89299999999997</v>
      </c>
      <c r="G7" s="75">
        <f>F7</f>
        <v>277.89299999999997</v>
      </c>
      <c r="H7" s="75" t="s">
        <v>53</v>
      </c>
      <c r="I7" s="75">
        <v>0</v>
      </c>
      <c r="J7" s="75">
        <f>F7-I7</f>
        <v>277.89299999999997</v>
      </c>
      <c r="K7" s="75" t="s">
        <v>53</v>
      </c>
      <c r="L7" s="78" t="s">
        <v>137</v>
      </c>
      <c r="M7" s="39">
        <f>J7/500</f>
        <v>0.55578599999999989</v>
      </c>
      <c r="N7" s="40">
        <f t="shared" si="2"/>
        <v>1</v>
      </c>
      <c r="O7" s="19">
        <v>20</v>
      </c>
      <c r="P7" s="46">
        <f>N7*O7</f>
        <v>20</v>
      </c>
      <c r="Q7" s="46">
        <f t="shared" si="1"/>
        <v>11.115719999999998</v>
      </c>
    </row>
    <row r="8" spans="1:17" s="47" customFormat="1" ht="15" hidden="1" x14ac:dyDescent="0.25">
      <c r="A8" s="71" t="s">
        <v>29</v>
      </c>
      <c r="B8" s="72" t="s">
        <v>30</v>
      </c>
      <c r="C8" s="75">
        <v>8.3333333333329998E-2</v>
      </c>
      <c r="D8" s="73">
        <f>D6</f>
        <v>25263</v>
      </c>
      <c r="E8" s="75">
        <f t="shared" ref="E8:E16" si="4">C8*D8</f>
        <v>2105.2499999999159</v>
      </c>
      <c r="F8" s="75"/>
      <c r="G8" s="75"/>
      <c r="H8" s="75" t="s">
        <v>50</v>
      </c>
      <c r="I8" s="75">
        <v>0</v>
      </c>
      <c r="J8" s="75"/>
      <c r="K8" s="75" t="s">
        <v>107</v>
      </c>
      <c r="L8" s="38"/>
      <c r="M8" s="39">
        <f t="shared" si="0"/>
        <v>0</v>
      </c>
      <c r="N8" s="40"/>
      <c r="O8" s="19"/>
      <c r="P8" s="46"/>
      <c r="Q8" s="46">
        <f t="shared" si="1"/>
        <v>0</v>
      </c>
    </row>
    <row r="9" spans="1:17" s="47" customFormat="1" ht="15" hidden="1" x14ac:dyDescent="0.25">
      <c r="A9" s="71" t="s">
        <v>29</v>
      </c>
      <c r="B9" s="72" t="s">
        <v>31</v>
      </c>
      <c r="C9" s="75">
        <v>8.3333333333329998E-2</v>
      </c>
      <c r="D9" s="73">
        <f t="shared" ref="D9:D20" si="5">D8</f>
        <v>25263</v>
      </c>
      <c r="E9" s="75">
        <f t="shared" si="4"/>
        <v>2105.2499999999159</v>
      </c>
      <c r="F9" s="75"/>
      <c r="G9" s="75"/>
      <c r="H9" s="75" t="s">
        <v>50</v>
      </c>
      <c r="I9" s="75">
        <v>0</v>
      </c>
      <c r="J9" s="75"/>
      <c r="K9" s="77" t="s">
        <v>107</v>
      </c>
      <c r="L9" s="38"/>
      <c r="M9" s="39">
        <f t="shared" si="0"/>
        <v>0</v>
      </c>
      <c r="N9" s="40"/>
      <c r="O9" s="19"/>
      <c r="P9" s="46"/>
      <c r="Q9" s="46">
        <f t="shared" si="1"/>
        <v>0</v>
      </c>
    </row>
    <row r="10" spans="1:17" s="47" customFormat="1" ht="15" hidden="1" x14ac:dyDescent="0.25">
      <c r="A10" s="71" t="s">
        <v>29</v>
      </c>
      <c r="B10" s="72" t="s">
        <v>32</v>
      </c>
      <c r="C10" s="75">
        <v>8.3333333333329998E-2</v>
      </c>
      <c r="D10" s="73">
        <f t="shared" si="5"/>
        <v>25263</v>
      </c>
      <c r="E10" s="75">
        <f t="shared" si="4"/>
        <v>2105.2499999999159</v>
      </c>
      <c r="F10" s="75"/>
      <c r="G10" s="75"/>
      <c r="H10" s="75" t="s">
        <v>50</v>
      </c>
      <c r="I10" s="75">
        <v>0</v>
      </c>
      <c r="J10" s="75"/>
      <c r="K10" s="77" t="s">
        <v>107</v>
      </c>
      <c r="L10" s="38"/>
      <c r="M10" s="39">
        <f t="shared" si="0"/>
        <v>0</v>
      </c>
      <c r="N10" s="40"/>
      <c r="O10" s="19"/>
      <c r="P10" s="46"/>
      <c r="Q10" s="46">
        <f t="shared" si="1"/>
        <v>0</v>
      </c>
    </row>
    <row r="11" spans="1:17" s="47" customFormat="1" ht="15" hidden="1" x14ac:dyDescent="0.25">
      <c r="A11" s="71" t="s">
        <v>29</v>
      </c>
      <c r="B11" s="72" t="s">
        <v>33</v>
      </c>
      <c r="C11" s="75">
        <v>1</v>
      </c>
      <c r="D11" s="73">
        <f t="shared" si="5"/>
        <v>25263</v>
      </c>
      <c r="E11" s="75">
        <f t="shared" si="4"/>
        <v>25263</v>
      </c>
      <c r="F11" s="75"/>
      <c r="G11" s="75"/>
      <c r="H11" s="75" t="s">
        <v>50</v>
      </c>
      <c r="I11" s="75">
        <v>0</v>
      </c>
      <c r="J11" s="75"/>
      <c r="K11" s="77" t="s">
        <v>107</v>
      </c>
      <c r="L11" s="38"/>
      <c r="M11" s="39">
        <f t="shared" si="0"/>
        <v>0</v>
      </c>
      <c r="N11" s="40"/>
      <c r="O11" s="19"/>
      <c r="P11" s="46"/>
      <c r="Q11" s="46">
        <f t="shared" si="1"/>
        <v>0</v>
      </c>
    </row>
    <row r="12" spans="1:17" s="47" customFormat="1" ht="15" x14ac:dyDescent="0.25">
      <c r="A12" s="71" t="s">
        <v>121</v>
      </c>
      <c r="B12" s="72" t="s">
        <v>122</v>
      </c>
      <c r="C12" s="75">
        <v>250</v>
      </c>
      <c r="D12" s="73">
        <f t="shared" si="5"/>
        <v>25263</v>
      </c>
      <c r="E12" s="75">
        <f>C12*D12/96</f>
        <v>65789.0625</v>
      </c>
      <c r="F12" s="75">
        <f>E12/1000</f>
        <v>65.7890625</v>
      </c>
      <c r="G12" s="75">
        <f>F12/4</f>
        <v>16.447265625</v>
      </c>
      <c r="H12" s="75" t="s">
        <v>123</v>
      </c>
      <c r="I12" s="75">
        <v>0</v>
      </c>
      <c r="J12" s="75"/>
      <c r="K12" s="77"/>
      <c r="L12" s="39" t="s">
        <v>127</v>
      </c>
      <c r="M12" s="39">
        <f>G12/1000</f>
        <v>1.6447265624999999E-2</v>
      </c>
      <c r="N12" s="40">
        <f t="shared" si="2"/>
        <v>1</v>
      </c>
      <c r="O12" s="19">
        <v>2000</v>
      </c>
      <c r="P12" s="46">
        <f t="shared" si="3"/>
        <v>2000</v>
      </c>
      <c r="Q12" s="46">
        <f t="shared" si="1"/>
        <v>32.89453125</v>
      </c>
    </row>
    <row r="13" spans="1:17" ht="15" x14ac:dyDescent="0.25">
      <c r="A13" s="71" t="s">
        <v>34</v>
      </c>
      <c r="B13" s="72" t="s">
        <v>35</v>
      </c>
      <c r="C13" s="75">
        <v>50</v>
      </c>
      <c r="D13" s="73">
        <f>D11</f>
        <v>25263</v>
      </c>
      <c r="E13" s="75">
        <f t="shared" si="4"/>
        <v>1263150</v>
      </c>
      <c r="F13" s="75">
        <f>E13/1000</f>
        <v>1263.1500000000001</v>
      </c>
      <c r="G13" s="75">
        <f>F13/1000</f>
        <v>1.26315</v>
      </c>
      <c r="H13" s="75" t="s">
        <v>53</v>
      </c>
      <c r="I13" s="75">
        <v>0</v>
      </c>
      <c r="J13" s="75">
        <f>G13-I13</f>
        <v>1.26315</v>
      </c>
      <c r="K13" s="75" t="s">
        <v>53</v>
      </c>
      <c r="L13" s="38" t="s">
        <v>116</v>
      </c>
      <c r="M13" s="39">
        <f>J13/0.5</f>
        <v>2.5263</v>
      </c>
      <c r="N13" s="40">
        <f t="shared" si="2"/>
        <v>3</v>
      </c>
      <c r="O13" s="19">
        <v>312</v>
      </c>
      <c r="P13" s="46">
        <f t="shared" si="3"/>
        <v>936</v>
      </c>
      <c r="Q13" s="46">
        <f t="shared" si="1"/>
        <v>788.2056</v>
      </c>
    </row>
    <row r="14" spans="1:17" ht="15" hidden="1" x14ac:dyDescent="0.25">
      <c r="A14" s="71" t="s">
        <v>29</v>
      </c>
      <c r="B14" s="72" t="s">
        <v>36</v>
      </c>
      <c r="C14" s="75">
        <v>8.3333333333329998E-2</v>
      </c>
      <c r="D14" s="73">
        <f t="shared" si="5"/>
        <v>25263</v>
      </c>
      <c r="E14" s="75">
        <f t="shared" si="4"/>
        <v>2105.2499999999159</v>
      </c>
      <c r="F14" s="75"/>
      <c r="G14" s="75"/>
      <c r="H14" s="75" t="s">
        <v>50</v>
      </c>
      <c r="I14" s="75">
        <v>0</v>
      </c>
      <c r="J14" s="75"/>
      <c r="K14" s="77" t="s">
        <v>107</v>
      </c>
      <c r="M14" s="39">
        <f t="shared" si="0"/>
        <v>0</v>
      </c>
      <c r="N14" s="40"/>
      <c r="P14" s="46"/>
      <c r="Q14" s="46">
        <f t="shared" si="1"/>
        <v>0</v>
      </c>
    </row>
    <row r="15" spans="1:17" ht="15" x14ac:dyDescent="0.25">
      <c r="A15" s="71" t="s">
        <v>37</v>
      </c>
      <c r="B15" s="72" t="s">
        <v>38</v>
      </c>
      <c r="C15" s="75">
        <v>50</v>
      </c>
      <c r="D15" s="73">
        <f t="shared" si="5"/>
        <v>25263</v>
      </c>
      <c r="E15" s="75">
        <f t="shared" si="4"/>
        <v>1263150</v>
      </c>
      <c r="F15" s="75">
        <f>E15/1000</f>
        <v>1263.1500000000001</v>
      </c>
      <c r="G15" s="75">
        <f>F15/2000</f>
        <v>0.631575</v>
      </c>
      <c r="H15" s="75" t="s">
        <v>73</v>
      </c>
      <c r="I15" s="75">
        <v>0</v>
      </c>
      <c r="J15" s="75">
        <f>G15-I15</f>
        <v>0.631575</v>
      </c>
      <c r="K15" s="75" t="s">
        <v>73</v>
      </c>
      <c r="L15" s="38" t="s">
        <v>117</v>
      </c>
      <c r="M15" s="39">
        <f>J15/2</f>
        <v>0.3157875</v>
      </c>
      <c r="N15" s="40">
        <f t="shared" si="2"/>
        <v>1</v>
      </c>
      <c r="O15" s="19">
        <v>250</v>
      </c>
      <c r="P15" s="46">
        <f t="shared" si="3"/>
        <v>250</v>
      </c>
      <c r="Q15" s="46">
        <f t="shared" si="1"/>
        <v>78.946875000000006</v>
      </c>
    </row>
    <row r="16" spans="1:17" ht="15" hidden="1" x14ac:dyDescent="0.25">
      <c r="A16" s="71" t="s">
        <v>29</v>
      </c>
      <c r="B16" s="72" t="s">
        <v>39</v>
      </c>
      <c r="C16" s="75">
        <v>8.3333333333329998E-2</v>
      </c>
      <c r="D16" s="73">
        <f t="shared" si="5"/>
        <v>25263</v>
      </c>
      <c r="E16" s="75">
        <f t="shared" si="4"/>
        <v>2105.2499999999159</v>
      </c>
      <c r="F16" s="75"/>
      <c r="G16" s="75"/>
      <c r="H16" s="75" t="s">
        <v>50</v>
      </c>
      <c r="I16" s="75">
        <v>0</v>
      </c>
      <c r="J16" s="75"/>
      <c r="K16" s="77" t="s">
        <v>107</v>
      </c>
      <c r="M16" s="39">
        <f t="shared" si="0"/>
        <v>0</v>
      </c>
      <c r="N16" s="40"/>
      <c r="P16" s="46"/>
      <c r="Q16" s="46">
        <f t="shared" si="1"/>
        <v>0</v>
      </c>
    </row>
    <row r="17" spans="1:17" ht="15" x14ac:dyDescent="0.25">
      <c r="A17" s="71" t="s">
        <v>139</v>
      </c>
      <c r="B17" s="72" t="s">
        <v>77</v>
      </c>
      <c r="C17" s="75"/>
      <c r="D17" s="73">
        <f t="shared" si="5"/>
        <v>25263</v>
      </c>
      <c r="E17" s="75"/>
      <c r="F17" s="75"/>
      <c r="G17" s="75">
        <f>F23</f>
        <v>263.15625</v>
      </c>
      <c r="H17" s="75" t="s">
        <v>66</v>
      </c>
      <c r="I17" s="75">
        <v>0</v>
      </c>
      <c r="J17" s="75">
        <f>G17-I17</f>
        <v>263.15625</v>
      </c>
      <c r="K17" s="75" t="s">
        <v>66</v>
      </c>
      <c r="L17" s="78" t="s">
        <v>140</v>
      </c>
      <c r="M17" s="39">
        <f>J17/105</f>
        <v>2.5062500000000001</v>
      </c>
      <c r="N17" s="40">
        <f>ROUNDUP(M17,0)</f>
        <v>3</v>
      </c>
      <c r="O17" s="19">
        <v>210</v>
      </c>
      <c r="P17" s="46">
        <f t="shared" si="3"/>
        <v>630</v>
      </c>
      <c r="Q17" s="46">
        <f t="shared" si="1"/>
        <v>526.3125</v>
      </c>
    </row>
    <row r="18" spans="1:17" ht="15" hidden="1" x14ac:dyDescent="0.25">
      <c r="A18" s="71" t="s">
        <v>29</v>
      </c>
      <c r="B18" s="72" t="s">
        <v>40</v>
      </c>
      <c r="C18" s="75">
        <v>8.3333333333329998E-2</v>
      </c>
      <c r="D18" s="73">
        <f t="shared" si="5"/>
        <v>25263</v>
      </c>
      <c r="E18" s="75">
        <f>C18*D18</f>
        <v>2105.2499999999159</v>
      </c>
      <c r="F18" s="75"/>
      <c r="G18" s="75"/>
      <c r="H18" s="75" t="s">
        <v>50</v>
      </c>
      <c r="I18" s="75">
        <v>0</v>
      </c>
      <c r="J18" s="75"/>
      <c r="K18" s="77" t="s">
        <v>107</v>
      </c>
      <c r="M18" s="39">
        <f t="shared" si="0"/>
        <v>0</v>
      </c>
      <c r="N18" s="40"/>
      <c r="P18" s="46"/>
      <c r="Q18" s="46">
        <f t="shared" si="1"/>
        <v>0</v>
      </c>
    </row>
    <row r="19" spans="1:17" ht="15" x14ac:dyDescent="0.25">
      <c r="A19" s="71" t="s">
        <v>41</v>
      </c>
      <c r="B19" s="72" t="s">
        <v>42</v>
      </c>
      <c r="C19" s="75">
        <v>25</v>
      </c>
      <c r="D19" s="73">
        <f t="shared" si="5"/>
        <v>25263</v>
      </c>
      <c r="E19" s="75">
        <f>C19*D19</f>
        <v>631575</v>
      </c>
      <c r="F19" s="75">
        <f>E19/1000</f>
        <v>631.57500000000005</v>
      </c>
      <c r="G19" s="75">
        <f>F19/1000*40</f>
        <v>25.262999999999998</v>
      </c>
      <c r="H19" s="75" t="s">
        <v>52</v>
      </c>
      <c r="I19" s="75">
        <v>0</v>
      </c>
      <c r="J19" s="75">
        <f>G19-I19</f>
        <v>25.262999999999998</v>
      </c>
      <c r="K19" s="75" t="s">
        <v>52</v>
      </c>
      <c r="L19" s="38" t="s">
        <v>106</v>
      </c>
      <c r="M19" s="39">
        <f>J19/500</f>
        <v>5.0525999999999995E-2</v>
      </c>
      <c r="N19" s="40">
        <f t="shared" si="2"/>
        <v>1</v>
      </c>
      <c r="O19" s="19">
        <v>18</v>
      </c>
      <c r="P19" s="46">
        <f t="shared" si="3"/>
        <v>18</v>
      </c>
      <c r="Q19" s="46">
        <f t="shared" si="1"/>
        <v>0.90946799999999994</v>
      </c>
    </row>
    <row r="20" spans="1:17" ht="15" hidden="1" x14ac:dyDescent="0.25">
      <c r="A20" s="71" t="s">
        <v>29</v>
      </c>
      <c r="B20" s="72" t="s">
        <v>43</v>
      </c>
      <c r="C20" s="75">
        <v>8.3333333333329998E-2</v>
      </c>
      <c r="D20" s="73">
        <f t="shared" si="5"/>
        <v>25263</v>
      </c>
      <c r="E20" s="75">
        <f>C20*D20</f>
        <v>2105.2499999999159</v>
      </c>
      <c r="F20" s="75"/>
      <c r="G20" s="75"/>
      <c r="H20" s="75" t="s">
        <v>50</v>
      </c>
      <c r="I20" s="75">
        <v>0</v>
      </c>
      <c r="J20" s="75"/>
      <c r="K20" s="77" t="s">
        <v>107</v>
      </c>
      <c r="M20" s="39">
        <f t="shared" si="0"/>
        <v>0</v>
      </c>
      <c r="N20" s="40"/>
      <c r="P20" s="46"/>
      <c r="Q20" s="46">
        <f t="shared" si="1"/>
        <v>0</v>
      </c>
    </row>
    <row r="21" spans="1:17" ht="15" x14ac:dyDescent="0.25">
      <c r="A21" s="71" t="s">
        <v>45</v>
      </c>
      <c r="B21" s="72"/>
      <c r="C21" s="75"/>
      <c r="D21" s="73">
        <f>D4</f>
        <v>10000</v>
      </c>
      <c r="E21" s="75">
        <f>D4/48</f>
        <v>208.33333333333334</v>
      </c>
      <c r="F21" s="75">
        <f>E21</f>
        <v>208.33333333333334</v>
      </c>
      <c r="G21" s="75">
        <f>E21</f>
        <v>208.33333333333334</v>
      </c>
      <c r="H21" s="75" t="s">
        <v>64</v>
      </c>
      <c r="I21" s="75">
        <v>0</v>
      </c>
      <c r="J21" s="75">
        <f>(G21-I21)</f>
        <v>208.33333333333334</v>
      </c>
      <c r="K21" s="75" t="s">
        <v>128</v>
      </c>
      <c r="L21" s="38" t="s">
        <v>89</v>
      </c>
      <c r="M21" s="39">
        <f>J21/50</f>
        <v>4.166666666666667</v>
      </c>
      <c r="N21" s="40">
        <f>ROUNDUP(M21,0)</f>
        <v>5</v>
      </c>
      <c r="O21" s="19">
        <v>201</v>
      </c>
      <c r="P21" s="46">
        <f t="shared" si="3"/>
        <v>1005</v>
      </c>
      <c r="Q21" s="46">
        <f t="shared" si="1"/>
        <v>837.50000000000011</v>
      </c>
    </row>
    <row r="22" spans="1:17" ht="15" x14ac:dyDescent="0.25">
      <c r="A22" s="71" t="s">
        <v>78</v>
      </c>
      <c r="B22" s="72"/>
      <c r="C22" s="75"/>
      <c r="D22" s="73">
        <f>D5</f>
        <v>25263</v>
      </c>
      <c r="E22" s="75">
        <f>E21</f>
        <v>208.33333333333334</v>
      </c>
      <c r="F22" s="75">
        <f>F21</f>
        <v>208.33333333333334</v>
      </c>
      <c r="G22" s="75">
        <f>G21</f>
        <v>208.33333333333334</v>
      </c>
      <c r="H22" s="75" t="s">
        <v>64</v>
      </c>
      <c r="I22" s="75">
        <v>0</v>
      </c>
      <c r="J22" s="75">
        <f>(G22-I22)+1</f>
        <v>209.33333333333334</v>
      </c>
      <c r="K22" s="75" t="s">
        <v>129</v>
      </c>
      <c r="L22" s="38" t="s">
        <v>90</v>
      </c>
      <c r="M22" s="39">
        <f>J22/100</f>
        <v>2.0933333333333333</v>
      </c>
      <c r="N22" s="40">
        <f>ROUNDUP(M22,0)</f>
        <v>3</v>
      </c>
      <c r="O22" s="19">
        <v>71</v>
      </c>
      <c r="P22" s="46">
        <f t="shared" si="3"/>
        <v>213</v>
      </c>
      <c r="Q22" s="46">
        <f t="shared" si="1"/>
        <v>148.62666666666667</v>
      </c>
    </row>
    <row r="23" spans="1:17" ht="15" x14ac:dyDescent="0.25">
      <c r="A23" s="71" t="s">
        <v>142</v>
      </c>
      <c r="B23" s="72"/>
      <c r="C23" s="75"/>
      <c r="D23" s="73">
        <f>D5</f>
        <v>25263</v>
      </c>
      <c r="E23" s="75">
        <f>D23/96</f>
        <v>263.15625</v>
      </c>
      <c r="F23" s="75">
        <f>E23</f>
        <v>263.15625</v>
      </c>
      <c r="G23" s="75">
        <f>E23</f>
        <v>263.15625</v>
      </c>
      <c r="H23" s="75" t="s">
        <v>64</v>
      </c>
      <c r="I23" s="75">
        <v>0</v>
      </c>
      <c r="J23" s="75">
        <f>(G23-I23)</f>
        <v>263.15625</v>
      </c>
      <c r="K23" s="75" t="s">
        <v>128</v>
      </c>
      <c r="L23" s="38" t="s">
        <v>89</v>
      </c>
      <c r="M23" s="39">
        <f>J23/50</f>
        <v>5.2631249999999996</v>
      </c>
      <c r="N23" s="40">
        <f>ROUNDUP(M23,0)</f>
        <v>6</v>
      </c>
      <c r="O23" s="19">
        <v>176</v>
      </c>
      <c r="P23" s="46">
        <f t="shared" si="3"/>
        <v>1056</v>
      </c>
      <c r="Q23" s="46">
        <f t="shared" si="1"/>
        <v>926.31</v>
      </c>
    </row>
    <row r="24" spans="1:17" ht="15" x14ac:dyDescent="0.25">
      <c r="A24" s="48" t="s">
        <v>70</v>
      </c>
      <c r="G24" s="50">
        <f>(E8+E9+E10+E11+E16+E18+E20)/96</f>
        <v>394.7343749999946</v>
      </c>
      <c r="H24" s="49" t="s">
        <v>72</v>
      </c>
      <c r="I24" s="49">
        <v>0</v>
      </c>
      <c r="J24" s="51">
        <f>G24-I24</f>
        <v>394.7343749999946</v>
      </c>
      <c r="K24" s="49" t="s">
        <v>72</v>
      </c>
      <c r="L24" s="38" t="s">
        <v>103</v>
      </c>
      <c r="M24" s="39">
        <f>J24/10</f>
        <v>39.473437499999463</v>
      </c>
      <c r="N24" s="40">
        <f>ROUNDUP(M24,0)</f>
        <v>40</v>
      </c>
      <c r="O24" s="19">
        <v>66</v>
      </c>
      <c r="P24" s="46">
        <f t="shared" si="3"/>
        <v>2640</v>
      </c>
      <c r="Q24" s="46">
        <f t="shared" si="1"/>
        <v>2605.2468749999643</v>
      </c>
    </row>
    <row r="25" spans="1:17" ht="15" x14ac:dyDescent="0.25">
      <c r="A25" s="48" t="s">
        <v>71</v>
      </c>
      <c r="G25" s="50">
        <f>G4+G6</f>
        <v>226.315</v>
      </c>
      <c r="H25" s="49" t="s">
        <v>52</v>
      </c>
      <c r="I25" s="49">
        <v>0</v>
      </c>
      <c r="J25" s="51">
        <f>G25-I25</f>
        <v>226.315</v>
      </c>
      <c r="K25" s="49" t="s">
        <v>52</v>
      </c>
      <c r="L25" s="38" t="s">
        <v>105</v>
      </c>
      <c r="M25" s="39">
        <f>J25/100</f>
        <v>2.26315</v>
      </c>
      <c r="N25" s="40">
        <f>ROUNDUP(M25,0)</f>
        <v>3</v>
      </c>
      <c r="O25" s="19">
        <v>120</v>
      </c>
      <c r="P25" s="46">
        <f t="shared" si="3"/>
        <v>360</v>
      </c>
      <c r="Q25" s="46">
        <f t="shared" si="1"/>
        <v>271.57799999999997</v>
      </c>
    </row>
    <row r="26" spans="1:17" s="56" customFormat="1" ht="15" x14ac:dyDescent="0.25">
      <c r="A26" s="16"/>
      <c r="B26" s="68"/>
      <c r="C26" s="52"/>
      <c r="D26" s="64"/>
      <c r="E26" s="52"/>
      <c r="F26" s="52"/>
      <c r="G26" s="52"/>
      <c r="H26" s="52"/>
      <c r="I26" s="52"/>
      <c r="J26" s="52"/>
      <c r="K26" s="52"/>
      <c r="L26" s="53"/>
      <c r="M26" s="54"/>
      <c r="N26" s="54"/>
      <c r="O26" s="55" t="s">
        <v>102</v>
      </c>
      <c r="P26" s="79">
        <f>SUM(P3:P25)</f>
        <v>9878</v>
      </c>
      <c r="Q26" s="79">
        <f>SUM(Q3:Q25)</f>
        <v>7084.2212359166315</v>
      </c>
    </row>
    <row r="27" spans="1:17" s="56" customFormat="1" ht="15" x14ac:dyDescent="0.25">
      <c r="A27" s="52"/>
      <c r="B27" s="68"/>
      <c r="C27" s="52"/>
      <c r="D27" s="64"/>
      <c r="E27" s="52"/>
      <c r="F27" s="52"/>
      <c r="G27" s="52"/>
      <c r="H27" s="52"/>
      <c r="I27" s="52"/>
      <c r="J27" s="52"/>
      <c r="K27" s="52"/>
      <c r="L27" s="53"/>
      <c r="M27" s="54"/>
      <c r="N27" s="54"/>
      <c r="O27" s="55"/>
    </row>
    <row r="28" spans="1:17" s="56" customFormat="1" ht="15" x14ac:dyDescent="0.25">
      <c r="A28" s="57"/>
      <c r="B28" s="68"/>
      <c r="C28" s="52"/>
      <c r="D28" s="64"/>
      <c r="E28" s="52"/>
      <c r="F28" s="52"/>
      <c r="G28" s="52"/>
      <c r="H28" s="52"/>
      <c r="I28" s="52"/>
      <c r="J28" s="52"/>
      <c r="K28" s="52"/>
      <c r="L28" s="53"/>
      <c r="M28" s="54"/>
      <c r="N28" s="54"/>
      <c r="O28" s="55"/>
    </row>
    <row r="29" spans="1:17" s="56" customFormat="1" ht="15" x14ac:dyDescent="0.25">
      <c r="A29" s="57"/>
      <c r="B29" s="68"/>
      <c r="C29" s="52"/>
      <c r="D29" s="64"/>
      <c r="E29" s="52"/>
      <c r="F29" s="52"/>
      <c r="G29" s="52"/>
      <c r="H29" s="52"/>
      <c r="I29" s="52"/>
      <c r="J29" s="52"/>
      <c r="K29" s="52"/>
      <c r="L29" s="53"/>
      <c r="M29" s="54"/>
      <c r="N29" s="54"/>
      <c r="O29" s="55"/>
    </row>
    <row r="30" spans="1:17" s="56" customFormat="1" ht="15" x14ac:dyDescent="0.25">
      <c r="A30" s="57"/>
      <c r="B30" s="68"/>
      <c r="C30" s="52"/>
      <c r="D30" s="64"/>
      <c r="E30" s="52"/>
      <c r="F30" s="52"/>
      <c r="G30" s="52"/>
      <c r="H30" s="52"/>
      <c r="I30" s="52"/>
      <c r="J30" s="52"/>
      <c r="K30" s="52"/>
      <c r="L30" s="53"/>
      <c r="M30" s="54"/>
      <c r="N30" s="54"/>
      <c r="O30" s="55"/>
    </row>
    <row r="31" spans="1:17" s="56" customFormat="1" ht="15" x14ac:dyDescent="0.25">
      <c r="A31" s="57"/>
      <c r="B31" s="68"/>
      <c r="C31" s="52"/>
      <c r="D31" s="64"/>
      <c r="E31" s="52"/>
      <c r="F31" s="52"/>
      <c r="G31" s="52"/>
      <c r="H31" s="52"/>
      <c r="I31" s="52"/>
      <c r="J31" s="52"/>
      <c r="K31" s="52"/>
      <c r="L31" s="53"/>
      <c r="M31" s="54"/>
      <c r="N31" s="54"/>
      <c r="O31" s="55"/>
    </row>
    <row r="32" spans="1:17" s="56" customFormat="1" ht="15" x14ac:dyDescent="0.25">
      <c r="A32" s="57"/>
      <c r="B32" s="68"/>
      <c r="C32" s="52"/>
      <c r="D32" s="64"/>
      <c r="E32" s="52"/>
      <c r="F32" s="52"/>
      <c r="G32" s="52"/>
      <c r="H32" s="52"/>
      <c r="I32" s="52"/>
      <c r="J32" s="52"/>
      <c r="K32" s="52"/>
      <c r="L32" s="53"/>
      <c r="M32" s="54"/>
      <c r="N32" s="54"/>
      <c r="O32" s="55"/>
    </row>
    <row r="33" spans="1:15" s="56" customFormat="1" ht="15" x14ac:dyDescent="0.25">
      <c r="A33" s="57"/>
      <c r="B33" s="68"/>
      <c r="C33" s="52"/>
      <c r="D33" s="64"/>
      <c r="E33" s="52"/>
      <c r="F33" s="52"/>
      <c r="G33" s="52"/>
      <c r="H33" s="52"/>
      <c r="I33" s="52"/>
      <c r="J33" s="52"/>
      <c r="K33" s="52"/>
      <c r="L33" s="53"/>
      <c r="M33" s="54"/>
      <c r="N33" s="54"/>
      <c r="O33" s="55"/>
    </row>
    <row r="34" spans="1:15" s="56" customFormat="1" ht="15" x14ac:dyDescent="0.25">
      <c r="A34" s="57"/>
      <c r="B34" s="68"/>
      <c r="C34" s="52"/>
      <c r="D34" s="64"/>
      <c r="E34" s="52"/>
      <c r="F34" s="52"/>
      <c r="G34" s="52"/>
      <c r="H34" s="52"/>
      <c r="I34" s="52"/>
      <c r="J34" s="52"/>
      <c r="K34" s="52"/>
      <c r="L34" s="53"/>
      <c r="M34" s="54"/>
      <c r="N34" s="54"/>
      <c r="O34" s="55"/>
    </row>
    <row r="35" spans="1:15" s="56" customFormat="1" ht="15" x14ac:dyDescent="0.25">
      <c r="A35" s="57"/>
      <c r="B35" s="68"/>
      <c r="C35" s="52"/>
      <c r="D35" s="64"/>
      <c r="E35" s="52"/>
      <c r="F35" s="52"/>
      <c r="G35" s="52"/>
      <c r="H35" s="52"/>
      <c r="I35" s="52"/>
      <c r="J35" s="52"/>
      <c r="K35" s="52"/>
      <c r="L35" s="53"/>
      <c r="M35" s="54"/>
      <c r="N35" s="54"/>
      <c r="O35" s="55"/>
    </row>
    <row r="36" spans="1:15" s="56" customFormat="1" ht="15" x14ac:dyDescent="0.25">
      <c r="A36" s="57"/>
      <c r="B36" s="68"/>
      <c r="C36" s="52"/>
      <c r="D36" s="64"/>
      <c r="E36" s="52"/>
      <c r="F36" s="52"/>
      <c r="G36" s="52"/>
      <c r="H36" s="52"/>
      <c r="I36" s="52"/>
      <c r="J36" s="52"/>
      <c r="K36" s="52"/>
      <c r="L36" s="53"/>
      <c r="M36" s="54"/>
      <c r="N36" s="54"/>
      <c r="O36" s="55"/>
    </row>
    <row r="37" spans="1:15" s="56" customFormat="1" ht="15" x14ac:dyDescent="0.25">
      <c r="A37" s="57"/>
      <c r="B37" s="68"/>
      <c r="C37" s="52"/>
      <c r="D37" s="64"/>
      <c r="E37" s="52"/>
      <c r="F37" s="52"/>
      <c r="G37" s="52"/>
      <c r="H37" s="52"/>
      <c r="I37" s="52"/>
      <c r="J37" s="52"/>
      <c r="K37" s="52"/>
      <c r="L37" s="53"/>
      <c r="M37" s="54"/>
      <c r="N37" s="54"/>
      <c r="O37" s="55"/>
    </row>
    <row r="38" spans="1:15" s="56" customFormat="1" ht="15" x14ac:dyDescent="0.25">
      <c r="A38" s="57"/>
      <c r="B38" s="68"/>
      <c r="C38" s="52"/>
      <c r="D38" s="64"/>
      <c r="E38" s="52"/>
      <c r="F38" s="52"/>
      <c r="G38" s="52"/>
      <c r="H38" s="52"/>
      <c r="I38" s="52"/>
      <c r="J38" s="52"/>
      <c r="K38" s="52"/>
      <c r="L38" s="53"/>
      <c r="M38" s="54"/>
      <c r="N38" s="54"/>
      <c r="O38" s="55"/>
    </row>
    <row r="39" spans="1:15" s="56" customFormat="1" ht="15" x14ac:dyDescent="0.25">
      <c r="A39" s="57"/>
      <c r="B39" s="68"/>
      <c r="C39" s="52"/>
      <c r="D39" s="64"/>
      <c r="E39" s="52"/>
      <c r="F39" s="52"/>
      <c r="G39" s="52"/>
      <c r="H39" s="52"/>
      <c r="I39" s="52"/>
      <c r="J39" s="52"/>
      <c r="K39" s="52"/>
      <c r="L39" s="53"/>
      <c r="M39" s="54"/>
      <c r="N39" s="54"/>
      <c r="O39" s="55"/>
    </row>
    <row r="40" spans="1:15" s="56" customFormat="1" ht="15" x14ac:dyDescent="0.25">
      <c r="A40" s="57"/>
      <c r="B40" s="68"/>
      <c r="C40" s="52"/>
      <c r="D40" s="64"/>
      <c r="E40" s="52"/>
      <c r="F40" s="52"/>
      <c r="G40" s="52"/>
      <c r="H40" s="52"/>
      <c r="I40" s="52"/>
      <c r="J40" s="52"/>
      <c r="K40" s="52"/>
      <c r="L40" s="53"/>
      <c r="M40" s="54"/>
      <c r="N40" s="54"/>
      <c r="O40" s="55"/>
    </row>
    <row r="41" spans="1:15" s="56" customFormat="1" ht="15" x14ac:dyDescent="0.25">
      <c r="A41" s="57"/>
      <c r="B41" s="68"/>
      <c r="C41" s="52"/>
      <c r="D41" s="64"/>
      <c r="E41" s="52"/>
      <c r="F41" s="52"/>
      <c r="G41" s="52"/>
      <c r="H41" s="52"/>
      <c r="I41" s="52"/>
      <c r="J41" s="52"/>
      <c r="K41" s="52"/>
      <c r="L41" s="53"/>
      <c r="M41" s="54"/>
      <c r="N41" s="54"/>
      <c r="O41" s="55"/>
    </row>
    <row r="42" spans="1:15" s="56" customFormat="1" ht="15" x14ac:dyDescent="0.25">
      <c r="A42" s="57"/>
      <c r="B42" s="68"/>
      <c r="C42" s="52"/>
      <c r="D42" s="64"/>
      <c r="E42" s="52"/>
      <c r="F42" s="52"/>
      <c r="G42" s="52"/>
      <c r="H42" s="52"/>
      <c r="I42" s="52"/>
      <c r="J42" s="52"/>
      <c r="K42" s="52"/>
      <c r="L42" s="58"/>
      <c r="M42" s="59"/>
      <c r="N42" s="59"/>
      <c r="O42" s="55"/>
    </row>
    <row r="43" spans="1:15" s="56" customFormat="1" ht="15" x14ac:dyDescent="0.25">
      <c r="A43" s="57"/>
      <c r="B43" s="68"/>
      <c r="C43" s="52"/>
      <c r="D43" s="64"/>
      <c r="E43" s="52"/>
      <c r="F43" s="52"/>
      <c r="G43" s="52"/>
      <c r="H43" s="52"/>
      <c r="I43" s="52"/>
      <c r="J43" s="52"/>
      <c r="K43" s="52"/>
      <c r="L43" s="53"/>
      <c r="M43" s="54"/>
      <c r="N43" s="54"/>
      <c r="O43" s="55"/>
    </row>
    <row r="44" spans="1:15" s="56" customFormat="1" ht="15" x14ac:dyDescent="0.25">
      <c r="A44" s="57"/>
      <c r="B44" s="68"/>
      <c r="C44" s="52"/>
      <c r="D44" s="64"/>
      <c r="E44" s="52"/>
      <c r="F44" s="52"/>
      <c r="G44" s="52"/>
      <c r="H44" s="52"/>
      <c r="I44" s="52"/>
      <c r="J44" s="52"/>
      <c r="K44" s="52"/>
      <c r="L44" s="53"/>
      <c r="M44" s="54"/>
      <c r="N44" s="54"/>
      <c r="O44" s="55"/>
    </row>
    <row r="45" spans="1:15" s="56" customFormat="1" ht="15" x14ac:dyDescent="0.25">
      <c r="A45" s="57"/>
      <c r="B45" s="68"/>
      <c r="C45" s="52"/>
      <c r="D45" s="64"/>
      <c r="E45" s="52"/>
      <c r="F45" s="52"/>
      <c r="G45" s="52"/>
      <c r="H45" s="52"/>
      <c r="I45" s="52"/>
      <c r="J45" s="52"/>
      <c r="K45" s="52"/>
      <c r="L45" s="53"/>
      <c r="M45" s="54"/>
      <c r="N45" s="54"/>
      <c r="O45" s="55"/>
    </row>
    <row r="46" spans="1:15" s="56" customFormat="1" ht="15" x14ac:dyDescent="0.25">
      <c r="A46" s="57"/>
      <c r="B46" s="68"/>
      <c r="C46" s="52"/>
      <c r="D46" s="64"/>
      <c r="E46" s="52"/>
      <c r="F46" s="52"/>
      <c r="G46" s="52"/>
      <c r="H46" s="52"/>
      <c r="I46" s="52"/>
      <c r="J46" s="52"/>
      <c r="K46" s="52"/>
      <c r="L46" s="53"/>
      <c r="M46" s="54"/>
      <c r="N46" s="54"/>
      <c r="O46" s="55"/>
    </row>
    <row r="47" spans="1:15" s="56" customFormat="1" ht="15" x14ac:dyDescent="0.25">
      <c r="A47" s="57"/>
      <c r="B47" s="68"/>
      <c r="C47" s="52"/>
      <c r="D47" s="64"/>
      <c r="E47" s="52"/>
      <c r="F47" s="52"/>
      <c r="G47" s="52"/>
      <c r="H47" s="52"/>
      <c r="I47" s="52"/>
      <c r="J47" s="52"/>
      <c r="K47" s="52"/>
      <c r="L47" s="53"/>
      <c r="M47" s="54"/>
      <c r="N47" s="54"/>
      <c r="O47" s="55"/>
    </row>
    <row r="48" spans="1:15" s="56" customFormat="1" x14ac:dyDescent="0.2">
      <c r="A48" s="60"/>
      <c r="B48" s="69"/>
      <c r="C48" s="60"/>
      <c r="D48" s="65"/>
      <c r="E48" s="60"/>
      <c r="F48" s="60"/>
      <c r="G48" s="60"/>
      <c r="H48" s="60"/>
      <c r="I48" s="60"/>
      <c r="J48" s="60"/>
      <c r="K48" s="60"/>
      <c r="L48" s="53"/>
      <c r="M48" s="54"/>
      <c r="N48" s="54"/>
      <c r="O48" s="55"/>
    </row>
    <row r="49" spans="1:15" s="56" customFormat="1" x14ac:dyDescent="0.2">
      <c r="A49" s="61"/>
      <c r="B49" s="69"/>
      <c r="C49" s="60"/>
      <c r="D49" s="65"/>
      <c r="E49" s="60"/>
      <c r="F49" s="60"/>
      <c r="G49" s="60"/>
      <c r="H49" s="60"/>
      <c r="I49" s="60"/>
      <c r="J49" s="60"/>
      <c r="K49" s="60"/>
      <c r="L49" s="53"/>
      <c r="M49" s="54"/>
      <c r="N49" s="54"/>
      <c r="O49" s="55"/>
    </row>
    <row r="50" spans="1:15" s="56" customFormat="1" x14ac:dyDescent="0.2">
      <c r="A50" s="61"/>
      <c r="B50" s="70"/>
      <c r="C50" s="60"/>
      <c r="D50" s="65"/>
      <c r="E50" s="60"/>
      <c r="F50" s="60"/>
      <c r="G50" s="60"/>
      <c r="H50" s="60"/>
      <c r="I50" s="60"/>
      <c r="J50" s="60"/>
      <c r="K50" s="60"/>
      <c r="L50" s="53"/>
      <c r="M50" s="54"/>
      <c r="N50" s="54"/>
      <c r="O50" s="55"/>
    </row>
    <row r="51" spans="1:15" s="56" customFormat="1" x14ac:dyDescent="0.2">
      <c r="A51" s="60"/>
      <c r="B51" s="69"/>
      <c r="C51" s="60"/>
      <c r="D51" s="65"/>
      <c r="E51" s="60"/>
      <c r="F51" s="60"/>
      <c r="G51" s="60"/>
      <c r="H51" s="60"/>
      <c r="I51" s="60"/>
      <c r="J51" s="60"/>
      <c r="K51" s="60"/>
      <c r="L51" s="53"/>
      <c r="M51" s="54"/>
      <c r="N51" s="54"/>
      <c r="O51" s="55"/>
    </row>
  </sheetData>
  <mergeCells count="1">
    <mergeCell ref="A1:L1"/>
  </mergeCells>
  <pageMargins left="0.7" right="0.7" top="0.75" bottom="0.75" header="0.3" footer="0.3"/>
  <pageSetup scale="83" orientation="landscape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PCR</vt:lpstr>
      <vt:lpstr>ELISA</vt:lpstr>
      <vt:lpstr>ELISA!Print_Area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Unnasch</dc:creator>
  <cp:lastModifiedBy>Miley, Kristi</cp:lastModifiedBy>
  <cp:lastPrinted>2021-07-27T14:11:12Z</cp:lastPrinted>
  <dcterms:created xsi:type="dcterms:W3CDTF">2009-08-13T08:31:35Z</dcterms:created>
  <dcterms:modified xsi:type="dcterms:W3CDTF">2023-05-17T18:14:00Z</dcterms:modified>
</cp:coreProperties>
</file>